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charts/chart2.xml" ContentType="application/vnd.openxmlformats-officedocument.drawingml.chart+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hidePivotFieldList="1"/>
  <mc:AlternateContent xmlns:mc="http://schemas.openxmlformats.org/markup-compatibility/2006">
    <mc:Choice Requires="x15">
      <x15ac:absPath xmlns:x15ac="http://schemas.microsoft.com/office/spreadsheetml/2010/11/ac" url="https://mailunicundiedu-my.sharepoint.com/personal/ypanqueva_ucundinamarca_edu_co/Documents/Documents/2025/MATRICES DOFA RIESGOS/DOFA INSTITUCIONAL 2025/"/>
    </mc:Choice>
  </mc:AlternateContent>
  <xr:revisionPtr revIDLastSave="44" documentId="13_ncr:1_{C4D3C333-BDE7-45C2-9AE7-CC579B5265FE}" xr6:coauthVersionLast="47" xr6:coauthVersionMax="47" xr10:uidLastSave="{EB7FE25A-A79A-489B-BEF8-FE2A4CBB0ACD}"/>
  <bookViews>
    <workbookView xWindow="-120" yWindow="-120" windowWidth="29040" windowHeight="15720" tabRatio="790" firstSheet="12" activeTab="12" xr2:uid="{00000000-000D-0000-FFFF-FFFF00000000}"/>
  </bookViews>
  <sheets>
    <sheet name="ESPN. PESCD. 2023" sheetId="36" state="hidden" r:id="rId1"/>
    <sheet name="ESPN. PESCD. 2022" sheetId="1" state="hidden" r:id="rId2"/>
    <sheet name="DOFA CONSOLIDADO" sheetId="7" state="hidden" r:id="rId3"/>
    <sheet name="T.D. DEBLD" sheetId="8" state="hidden" r:id="rId4"/>
    <sheet name="T.D.AMENZ" sheetId="10" state="hidden" r:id="rId5"/>
    <sheet name="T.D. FORTLZ" sheetId="9" state="hidden" r:id="rId6"/>
    <sheet name="T.D. OPRTND" sheetId="11" state="hidden" r:id="rId7"/>
    <sheet name="ESPN. PESCD. 2024" sheetId="37" state="hidden" r:id="rId8"/>
    <sheet name="AMENAZAS 2022" sheetId="30" state="hidden" r:id="rId9"/>
    <sheet name="OPORTUNIDADES 2022" sheetId="27" state="hidden" r:id="rId10"/>
    <sheet name="DEBILIDADES 2022" sheetId="29" state="hidden" r:id="rId11"/>
    <sheet name="Hoja1" sheetId="32" state="hidden" r:id="rId12"/>
    <sheet name="DOFA_INST" sheetId="41" r:id="rId13"/>
    <sheet name="FORTALEZAS 2022" sheetId="25" state="hidden" r:id="rId14"/>
  </sheets>
  <externalReferences>
    <externalReference r:id="rId15"/>
    <externalReference r:id="rId16"/>
    <externalReference r:id="rId17"/>
  </externalReferences>
  <definedNames>
    <definedName name="_xlnm._FilterDatabase" localSheetId="2" hidden="1">'DOFA CONSOLIDADO'!$A$2:$F$1035</definedName>
    <definedName name="_xlnm.Print_Area" localSheetId="12">DOFA_INST!$A$1:$S$74</definedName>
  </definedNames>
  <calcPr calcId="191028"/>
  <pivotCaches>
    <pivotCache cacheId="0" r:id="rId18"/>
    <pivotCache cacheId="1" r:id="rId19"/>
    <pivotCache cacheId="2" r:id="rId20"/>
    <pivotCache cacheId="3" r:id="rId21"/>
    <pivotCache cacheId="4" r:id="rId22"/>
    <pivotCache cacheId="5" r:id="rId2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3" i="41" l="1"/>
  <c r="Q60" i="41"/>
  <c r="Q50" i="41"/>
  <c r="H62" i="41"/>
  <c r="Q33" i="41"/>
  <c r="F9" i="11" l="1"/>
  <c r="F8" i="11"/>
  <c r="F7" i="11"/>
  <c r="F6" i="11"/>
  <c r="F5" i="11"/>
  <c r="F9" i="9"/>
  <c r="F8" i="9"/>
  <c r="F7" i="9"/>
  <c r="F6" i="9"/>
  <c r="F5" i="9"/>
  <c r="F4" i="9"/>
  <c r="F10" i="10"/>
  <c r="F9" i="10"/>
  <c r="F8" i="10"/>
  <c r="F7" i="10"/>
  <c r="F6" i="10"/>
  <c r="F11" i="8"/>
  <c r="F10" i="8"/>
  <c r="F9" i="8"/>
  <c r="F8" i="8"/>
  <c r="F7" i="8"/>
  <c r="F6" i="8"/>
  <c r="F2" i="1"/>
  <c r="G8" i="10"/>
  <c r="G9" i="8"/>
  <c r="G9" i="10"/>
  <c r="G4" i="10"/>
  <c r="G10" i="8"/>
  <c r="G7" i="11"/>
  <c r="G11" i="8"/>
  <c r="G4" i="9"/>
  <c r="G6" i="10"/>
  <c r="G10" i="10"/>
  <c r="G7" i="9"/>
  <c r="G5" i="10"/>
  <c r="G5" i="9"/>
  <c r="G4" i="11"/>
  <c r="G5" i="11"/>
  <c r="G10" i="9"/>
  <c r="F38" i="1"/>
  <c r="G4" i="8"/>
  <c r="G8" i="9"/>
  <c r="G6" i="9"/>
  <c r="G5" i="8"/>
  <c r="D29" i="1"/>
  <c r="G9" i="11"/>
  <c r="D38" i="1"/>
  <c r="G6" i="11"/>
  <c r="G8" i="11"/>
  <c r="G6" i="8"/>
  <c r="G8" i="8"/>
  <c r="F37" i="1"/>
  <c r="D34" i="1"/>
  <c r="G9" i="9"/>
  <c r="G7" i="8"/>
  <c r="G7" i="10"/>
  <c r="F29" i="1"/>
  <c r="F67" i="37"/>
  <c r="F49" i="37"/>
  <c r="F58" i="36"/>
  <c r="D14" i="36"/>
  <c r="D43" i="36"/>
  <c r="D9" i="36"/>
  <c r="D23" i="36"/>
  <c r="F31" i="36"/>
  <c r="F3" i="36"/>
  <c r="F38" i="36"/>
  <c r="F16" i="37"/>
  <c r="F10" i="37"/>
  <c r="F4" i="37"/>
  <c r="D10" i="37"/>
  <c r="D16" i="37"/>
  <c r="D8" i="37"/>
  <c r="D65" i="37"/>
  <c r="D47" i="37"/>
  <c r="D53" i="36"/>
  <c r="D50" i="36"/>
  <c r="F66" i="37"/>
  <c r="F47" i="37"/>
  <c r="F52" i="36"/>
  <c r="D10" i="36"/>
  <c r="D35" i="36"/>
  <c r="D30" i="36"/>
  <c r="D4" i="36"/>
  <c r="F42" i="36"/>
  <c r="F10" i="36"/>
  <c r="F40" i="36"/>
  <c r="F42" i="37"/>
  <c r="F38" i="37"/>
  <c r="D2" i="37"/>
  <c r="D23" i="37"/>
  <c r="D42" i="37"/>
  <c r="D33" i="37"/>
  <c r="D49" i="37"/>
  <c r="D62" i="36"/>
  <c r="D54" i="36"/>
  <c r="D56" i="36"/>
  <c r="D25" i="36"/>
  <c r="F12" i="36"/>
  <c r="F36" i="36"/>
  <c r="F2" i="37"/>
  <c r="D7" i="37"/>
  <c r="D53" i="37"/>
  <c r="D57" i="36"/>
  <c r="F64" i="36"/>
  <c r="D3" i="36"/>
  <c r="F34" i="36"/>
  <c r="F33" i="37"/>
  <c r="D20" i="37"/>
  <c r="D69" i="36"/>
  <c r="F67" i="36"/>
  <c r="F5" i="36"/>
  <c r="F21" i="37"/>
  <c r="D28" i="37"/>
  <c r="D69" i="37"/>
  <c r="D55" i="36"/>
  <c r="D42" i="36"/>
  <c r="D7" i="36"/>
  <c r="F20" i="37"/>
  <c r="D36" i="37"/>
  <c r="D28" i="36"/>
  <c r="F13" i="36"/>
  <c r="D38" i="37"/>
  <c r="D52" i="37"/>
  <c r="F59" i="36"/>
  <c r="D38" i="36"/>
  <c r="F18" i="36"/>
  <c r="F27" i="37"/>
  <c r="D66" i="36"/>
  <c r="F69" i="37"/>
  <c r="D30" i="37"/>
  <c r="D63" i="37"/>
  <c r="F65" i="37"/>
  <c r="F46" i="37"/>
  <c r="F65" i="36"/>
  <c r="D36" i="36"/>
  <c r="D31" i="36"/>
  <c r="D6" i="36"/>
  <c r="F43" i="36"/>
  <c r="F27" i="36"/>
  <c r="F6" i="36"/>
  <c r="F34" i="37"/>
  <c r="F30" i="37"/>
  <c r="F26" i="37"/>
  <c r="D32" i="37"/>
  <c r="D35" i="37"/>
  <c r="D15" i="37"/>
  <c r="D6" i="37"/>
  <c r="D64" i="37"/>
  <c r="D61" i="37"/>
  <c r="D70" i="36"/>
  <c r="D63" i="36"/>
  <c r="F64" i="37"/>
  <c r="F14" i="36"/>
  <c r="F56" i="36"/>
  <c r="D32" i="36"/>
  <c r="D19" i="36"/>
  <c r="D16" i="36"/>
  <c r="F4" i="36"/>
  <c r="F33" i="36"/>
  <c r="F30" i="36"/>
  <c r="F22" i="37"/>
  <c r="F13" i="37"/>
  <c r="F9" i="37"/>
  <c r="D19" i="37"/>
  <c r="D29" i="37"/>
  <c r="D27" i="37"/>
  <c r="D54" i="37"/>
  <c r="D64" i="36"/>
  <c r="D61" i="36"/>
  <c r="F63" i="37"/>
  <c r="F14" i="37"/>
  <c r="F69" i="36"/>
  <c r="D33" i="36"/>
  <c r="D39" i="36"/>
  <c r="F9" i="36"/>
  <c r="F6" i="37"/>
  <c r="F37" i="37"/>
  <c r="D26" i="37"/>
  <c r="D48" i="37"/>
  <c r="F68" i="36"/>
  <c r="D13" i="36"/>
  <c r="F39" i="36"/>
  <c r="F29" i="37"/>
  <c r="F25" i="37"/>
  <c r="D4" i="37"/>
  <c r="D46" i="37"/>
  <c r="D58" i="37"/>
  <c r="D52" i="36"/>
  <c r="F58" i="37"/>
  <c r="D26" i="36"/>
  <c r="D11" i="36"/>
  <c r="F28" i="36"/>
  <c r="F12" i="37"/>
  <c r="D31" i="37"/>
  <c r="D51" i="37"/>
  <c r="F46" i="36"/>
  <c r="F32" i="36"/>
  <c r="F11" i="37"/>
  <c r="D21" i="37"/>
  <c r="D56" i="37"/>
  <c r="D48" i="36"/>
  <c r="F52" i="37"/>
  <c r="D20" i="36"/>
  <c r="F35" i="37"/>
  <c r="D55" i="37"/>
  <c r="F68" i="37"/>
  <c r="D27" i="36"/>
  <c r="F35" i="36"/>
  <c r="F31" i="37"/>
  <c r="D22" i="37"/>
  <c r="D62" i="37"/>
  <c r="D5" i="37"/>
  <c r="D47" i="36"/>
  <c r="F59" i="37"/>
  <c r="D37" i="36"/>
  <c r="F37" i="36"/>
  <c r="D12" i="37"/>
  <c r="F66" i="36"/>
  <c r="D2" i="36"/>
  <c r="F16" i="36"/>
  <c r="F8" i="37"/>
  <c r="D25" i="37"/>
  <c r="D65" i="36"/>
  <c r="F47" i="36"/>
  <c r="F24" i="36"/>
  <c r="F5" i="37"/>
  <c r="D67" i="37"/>
  <c r="F49" i="36"/>
  <c r="F21" i="36"/>
  <c r="F39" i="37"/>
  <c r="D9" i="37"/>
  <c r="D60" i="36"/>
  <c r="F50" i="37"/>
  <c r="D8" i="36"/>
  <c r="F20" i="36"/>
  <c r="F23" i="37"/>
  <c r="D66" i="37"/>
  <c r="F56" i="37"/>
  <c r="F50" i="36"/>
  <c r="F53" i="36"/>
  <c r="D21" i="36"/>
  <c r="D18" i="36"/>
  <c r="D12" i="36"/>
  <c r="F26" i="36"/>
  <c r="F29" i="36"/>
  <c r="F25" i="36"/>
  <c r="F3" i="37"/>
  <c r="F40" i="37"/>
  <c r="F36" i="37"/>
  <c r="D40" i="37"/>
  <c r="D18" i="37"/>
  <c r="D37" i="37"/>
  <c r="D60" i="37"/>
  <c r="D57" i="37"/>
  <c r="D49" i="36"/>
  <c r="D67" i="36"/>
  <c r="F55" i="37"/>
  <c r="F63" i="36"/>
  <c r="F55" i="36"/>
  <c r="D5" i="36"/>
  <c r="D24" i="36"/>
  <c r="D40" i="36"/>
  <c r="F8" i="36"/>
  <c r="F11" i="36"/>
  <c r="F22" i="36"/>
  <c r="F32" i="37"/>
  <c r="F28" i="37"/>
  <c r="F24" i="37"/>
  <c r="D13" i="37"/>
  <c r="D3" i="37"/>
  <c r="D24" i="37"/>
  <c r="D68" i="37"/>
  <c r="D50" i="37"/>
  <c r="D68" i="36"/>
  <c r="D46" i="36"/>
  <c r="F70" i="37"/>
  <c r="F53" i="37"/>
  <c r="D29" i="36"/>
  <c r="F2" i="36"/>
  <c r="D39" i="37"/>
  <c r="D51" i="36"/>
  <c r="F70" i="36"/>
  <c r="D22" i="36"/>
  <c r="F23" i="36"/>
  <c r="F43" i="37"/>
  <c r="D43" i="37"/>
  <c r="D70" i="37"/>
  <c r="D14" i="37"/>
  <c r="D11" i="37"/>
  <c r="D58" i="36"/>
  <c r="G11" i="11" l="1"/>
  <c r="G11" i="9"/>
  <c r="G12" i="9"/>
  <c r="G11" i="10"/>
  <c r="H10" i="10" s="1"/>
  <c r="G12" i="8"/>
  <c r="F111" i="7"/>
  <c r="F199" i="7" l="1"/>
  <c r="F855" i="7"/>
  <c r="F69" i="7" l="1"/>
  <c r="F836" i="7" l="1"/>
  <c r="F599" i="7"/>
  <c r="F29" i="7" l="1"/>
  <c r="F10" i="11" l="1"/>
  <c r="F4" i="11"/>
  <c r="F10" i="9"/>
  <c r="F5" i="10"/>
  <c r="F4" i="10"/>
  <c r="F5" i="8"/>
  <c r="F4" i="8"/>
  <c r="F854" i="7"/>
  <c r="F853" i="7"/>
  <c r="F852" i="7"/>
  <c r="F851" i="7"/>
  <c r="F850" i="7"/>
  <c r="F849" i="7"/>
  <c r="F848" i="7"/>
  <c r="F846" i="7"/>
  <c r="F844" i="7"/>
  <c r="F843" i="7"/>
  <c r="F842" i="7"/>
  <c r="F841" i="7"/>
  <c r="F840" i="7"/>
  <c r="F834" i="7"/>
  <c r="F839" i="7"/>
  <c r="F838" i="7"/>
  <c r="F837" i="7"/>
  <c r="F835" i="7"/>
  <c r="F767" i="7"/>
  <c r="F765" i="7"/>
  <c r="F763" i="7"/>
  <c r="F766" i="7"/>
  <c r="F774" i="7"/>
  <c r="F717" i="7"/>
  <c r="F715" i="7"/>
  <c r="F716" i="7"/>
  <c r="F831" i="7"/>
  <c r="F827" i="7"/>
  <c r="F830" i="7"/>
  <c r="F825" i="7"/>
  <c r="F824" i="7"/>
  <c r="F820" i="7"/>
  <c r="F823" i="7"/>
  <c r="F822" i="7"/>
  <c r="F819" i="7"/>
  <c r="F821" i="7"/>
  <c r="F785" i="7"/>
  <c r="F816" i="7"/>
  <c r="F815" i="7"/>
  <c r="F807" i="7"/>
  <c r="F808" i="7"/>
  <c r="F814" i="7"/>
  <c r="F813" i="7"/>
  <c r="F812" i="7"/>
  <c r="F811" i="7"/>
  <c r="F810" i="7"/>
  <c r="F809" i="7"/>
  <c r="F806" i="7"/>
  <c r="F805" i="7"/>
  <c r="F804" i="7"/>
  <c r="F803" i="7"/>
  <c r="F713" i="7"/>
  <c r="F799" i="7"/>
  <c r="F802" i="7"/>
  <c r="F708" i="7"/>
  <c r="F706" i="7"/>
  <c r="F797" i="7"/>
  <c r="F796" i="7"/>
  <c r="F794" i="7"/>
  <c r="F795" i="7"/>
  <c r="F793" i="7"/>
  <c r="F786" i="7"/>
  <c r="F784" i="7"/>
  <c r="F705" i="7"/>
  <c r="F782" i="7"/>
  <c r="F781" i="7"/>
  <c r="F771" i="7"/>
  <c r="F711" i="7"/>
  <c r="F828" i="7"/>
  <c r="F829" i="7"/>
  <c r="F777" i="7"/>
  <c r="F776" i="7"/>
  <c r="F801" i="7"/>
  <c r="F704" i="7"/>
  <c r="F773" i="7"/>
  <c r="F772" i="7"/>
  <c r="F714" i="7"/>
  <c r="F770" i="7"/>
  <c r="F769" i="7"/>
  <c r="F787" i="7"/>
  <c r="F764" i="7"/>
  <c r="F762" i="7"/>
  <c r="F712" i="7"/>
  <c r="F761" i="7"/>
  <c r="F760" i="7"/>
  <c r="F759" i="7"/>
  <c r="F758" i="7"/>
  <c r="F757" i="7"/>
  <c r="F756" i="7"/>
  <c r="F755" i="7"/>
  <c r="F754" i="7"/>
  <c r="F753" i="7"/>
  <c r="F752" i="7"/>
  <c r="F751" i="7"/>
  <c r="F750" i="7"/>
  <c r="F749" i="7"/>
  <c r="F748" i="7"/>
  <c r="F747" i="7"/>
  <c r="F746" i="7"/>
  <c r="F745" i="7"/>
  <c r="F736" i="7"/>
  <c r="F735" i="7"/>
  <c r="F734" i="7"/>
  <c r="F732" i="7"/>
  <c r="F731" i="7"/>
  <c r="F730" i="7"/>
  <c r="F729" i="7"/>
  <c r="F727" i="7"/>
  <c r="F726" i="7"/>
  <c r="F725" i="7"/>
  <c r="F721" i="7"/>
  <c r="F720" i="7"/>
  <c r="F833" i="7"/>
  <c r="F703" i="7"/>
  <c r="F702" i="7"/>
  <c r="F701" i="7"/>
  <c r="F700" i="7"/>
  <c r="F699" i="7"/>
  <c r="F698" i="7"/>
  <c r="F697" i="7"/>
  <c r="F695" i="7"/>
  <c r="F800" i="7"/>
  <c r="F646" i="7"/>
  <c r="F645" i="7"/>
  <c r="F644" i="7"/>
  <c r="F643" i="7"/>
  <c r="F642" i="7"/>
  <c r="F659" i="7"/>
  <c r="F658" i="7"/>
  <c r="F657" i="7"/>
  <c r="F641" i="7"/>
  <c r="F656" i="7"/>
  <c r="F655" i="7"/>
  <c r="F654" i="7"/>
  <c r="F653" i="7"/>
  <c r="F652" i="7"/>
  <c r="F651" i="7"/>
  <c r="F650" i="7"/>
  <c r="F649" i="7"/>
  <c r="F648" i="7"/>
  <c r="F647" i="7"/>
  <c r="F640" i="7"/>
  <c r="F635" i="7"/>
  <c r="F634" i="7"/>
  <c r="F633" i="7"/>
  <c r="F632" i="7"/>
  <c r="F631" i="7"/>
  <c r="F630" i="7"/>
  <c r="F629" i="7"/>
  <c r="F628" i="7"/>
  <c r="F639" i="7"/>
  <c r="F638" i="7"/>
  <c r="F637" i="7"/>
  <c r="F636" i="7"/>
  <c r="F627" i="7"/>
  <c r="F622" i="7"/>
  <c r="F621" i="7"/>
  <c r="F620" i="7"/>
  <c r="F619" i="7"/>
  <c r="F626" i="7"/>
  <c r="F624" i="7"/>
  <c r="F623" i="7"/>
  <c r="F614" i="7"/>
  <c r="F613" i="7"/>
  <c r="F612" i="7"/>
  <c r="F611" i="7"/>
  <c r="F618" i="7"/>
  <c r="F616" i="7"/>
  <c r="F615" i="7"/>
  <c r="F610" i="7"/>
  <c r="F605" i="7"/>
  <c r="F609" i="7"/>
  <c r="F604" i="7"/>
  <c r="F603" i="7"/>
  <c r="F602" i="7"/>
  <c r="F600" i="7"/>
  <c r="F608" i="7"/>
  <c r="F607" i="7"/>
  <c r="F606" i="7"/>
  <c r="F596" i="7"/>
  <c r="F595" i="7"/>
  <c r="F594" i="7"/>
  <c r="F597" i="7"/>
  <c r="F593" i="7"/>
  <c r="F592" i="7"/>
  <c r="F591" i="7"/>
  <c r="F590" i="7"/>
  <c r="F589" i="7"/>
  <c r="F588" i="7"/>
  <c r="F587" i="7"/>
  <c r="F586" i="7"/>
  <c r="F585" i="7"/>
  <c r="F584" i="7"/>
  <c r="F557" i="7"/>
  <c r="F556" i="7"/>
  <c r="F555" i="7"/>
  <c r="F554" i="7"/>
  <c r="F553" i="7"/>
  <c r="F576" i="7"/>
  <c r="F575" i="7"/>
  <c r="F574" i="7"/>
  <c r="F573" i="7"/>
  <c r="F572" i="7"/>
  <c r="F571" i="7"/>
  <c r="F570" i="7"/>
  <c r="F569" i="7"/>
  <c r="F552" i="7"/>
  <c r="F568" i="7"/>
  <c r="F566" i="7"/>
  <c r="F565" i="7"/>
  <c r="F564" i="7"/>
  <c r="F563" i="7"/>
  <c r="F562" i="7"/>
  <c r="F561" i="7"/>
  <c r="F560" i="7"/>
  <c r="F551" i="7"/>
  <c r="F544" i="7"/>
  <c r="F543" i="7"/>
  <c r="F542" i="7"/>
  <c r="F541" i="7"/>
  <c r="F540" i="7"/>
  <c r="F539" i="7"/>
  <c r="F549" i="7"/>
  <c r="F548" i="7"/>
  <c r="F547" i="7"/>
  <c r="F546" i="7"/>
  <c r="F545" i="7"/>
  <c r="F538" i="7"/>
  <c r="F536" i="7"/>
  <c r="F535" i="7"/>
  <c r="F534" i="7"/>
  <c r="F533" i="7"/>
  <c r="F532" i="7"/>
  <c r="F531" i="7"/>
  <c r="F530" i="7"/>
  <c r="F529" i="7"/>
  <c r="F522" i="7"/>
  <c r="F521" i="7"/>
  <c r="F520" i="7"/>
  <c r="F519" i="7"/>
  <c r="F518" i="7"/>
  <c r="F517" i="7"/>
  <c r="F516" i="7"/>
  <c r="F515" i="7"/>
  <c r="F528" i="7"/>
  <c r="F527" i="7"/>
  <c r="F526" i="7"/>
  <c r="F525" i="7"/>
  <c r="F524" i="7"/>
  <c r="F523" i="7"/>
  <c r="F514" i="7"/>
  <c r="F499" i="7"/>
  <c r="F498" i="7"/>
  <c r="F497" i="7"/>
  <c r="F496" i="7"/>
  <c r="F495" i="7"/>
  <c r="F494" i="7"/>
  <c r="F493" i="7"/>
  <c r="F513" i="7"/>
  <c r="F512" i="7"/>
  <c r="F511" i="7"/>
  <c r="F510" i="7"/>
  <c r="F509" i="7"/>
  <c r="F492" i="7"/>
  <c r="F508" i="7"/>
  <c r="F507" i="7"/>
  <c r="F506" i="7"/>
  <c r="F505" i="7"/>
  <c r="F504" i="7"/>
  <c r="F503" i="7"/>
  <c r="F502" i="7"/>
  <c r="F501" i="7"/>
  <c r="F500" i="7"/>
  <c r="F491" i="7"/>
  <c r="F484" i="7"/>
  <c r="F483" i="7"/>
  <c r="F482" i="7"/>
  <c r="F481" i="7"/>
  <c r="F480" i="7"/>
  <c r="F479" i="7"/>
  <c r="F478" i="7"/>
  <c r="F490" i="7"/>
  <c r="F477" i="7"/>
  <c r="F489" i="7"/>
  <c r="F488" i="7"/>
  <c r="F487" i="7"/>
  <c r="F486" i="7"/>
  <c r="F485" i="7"/>
  <c r="F476" i="7"/>
  <c r="F467" i="7"/>
  <c r="F466" i="7"/>
  <c r="F465" i="7"/>
  <c r="F464" i="7"/>
  <c r="F463" i="7"/>
  <c r="F462" i="7"/>
  <c r="F472" i="7"/>
  <c r="F471" i="7"/>
  <c r="F470" i="7"/>
  <c r="F469" i="7"/>
  <c r="F468" i="7"/>
  <c r="F461" i="7"/>
  <c r="F474" i="7"/>
  <c r="F473" i="7"/>
  <c r="F449" i="7"/>
  <c r="F448" i="7"/>
  <c r="F447" i="7"/>
  <c r="F446" i="7"/>
  <c r="F445" i="7"/>
  <c r="F444" i="7"/>
  <c r="F443" i="7"/>
  <c r="F460" i="7"/>
  <c r="F442" i="7"/>
  <c r="F459" i="7"/>
  <c r="F458" i="7"/>
  <c r="F457" i="7"/>
  <c r="F456" i="7"/>
  <c r="F455" i="7"/>
  <c r="F454" i="7"/>
  <c r="F453" i="7"/>
  <c r="F452" i="7"/>
  <c r="F451" i="7"/>
  <c r="F450" i="7"/>
  <c r="F441" i="7"/>
  <c r="F423" i="7"/>
  <c r="F422" i="7"/>
  <c r="F421" i="7"/>
  <c r="F420" i="7"/>
  <c r="F419" i="7"/>
  <c r="F418" i="7"/>
  <c r="F417" i="7"/>
  <c r="F440" i="7"/>
  <c r="F439" i="7"/>
  <c r="F438" i="7"/>
  <c r="F437" i="7"/>
  <c r="F436" i="7"/>
  <c r="F435" i="7"/>
  <c r="F434" i="7"/>
  <c r="F416" i="7"/>
  <c r="F433" i="7"/>
  <c r="F432" i="7"/>
  <c r="F431" i="7"/>
  <c r="F430" i="7"/>
  <c r="F429" i="7"/>
  <c r="F428" i="7"/>
  <c r="F427" i="7"/>
  <c r="F426" i="7"/>
  <c r="F425" i="7"/>
  <c r="F424" i="7"/>
  <c r="F415" i="7"/>
  <c r="F414" i="7"/>
  <c r="F413" i="7"/>
  <c r="F412" i="7"/>
  <c r="F411" i="7"/>
  <c r="F410" i="7"/>
  <c r="F409" i="7"/>
  <c r="F408" i="7"/>
  <c r="F407" i="7"/>
  <c r="F406" i="7"/>
  <c r="F405" i="7"/>
  <c r="F404" i="7"/>
  <c r="F403" i="7"/>
  <c r="F402" i="7"/>
  <c r="F401" i="7"/>
  <c r="F400" i="7"/>
  <c r="F399" i="7"/>
  <c r="F398" i="7"/>
  <c r="F388" i="7"/>
  <c r="F387" i="7"/>
  <c r="F386" i="7"/>
  <c r="F385" i="7"/>
  <c r="F384" i="7"/>
  <c r="F383" i="7"/>
  <c r="F382" i="7"/>
  <c r="F397" i="7"/>
  <c r="F396" i="7"/>
  <c r="F395" i="7"/>
  <c r="F394" i="7"/>
  <c r="F393" i="7"/>
  <c r="F392" i="7"/>
  <c r="F391" i="7"/>
  <c r="F390" i="7"/>
  <c r="F389" i="7"/>
  <c r="F381" i="7"/>
  <c r="F360" i="7"/>
  <c r="F359" i="7"/>
  <c r="F358" i="7"/>
  <c r="F357" i="7"/>
  <c r="F356" i="7"/>
  <c r="F355" i="7"/>
  <c r="F354" i="7"/>
  <c r="F380" i="7"/>
  <c r="F379" i="7"/>
  <c r="F378" i="7"/>
  <c r="F377" i="7"/>
  <c r="F376" i="7"/>
  <c r="F375" i="7"/>
  <c r="F374" i="7"/>
  <c r="F373" i="7"/>
  <c r="F372" i="7"/>
  <c r="F371" i="7"/>
  <c r="F353" i="7"/>
  <c r="F370" i="7"/>
  <c r="F369" i="7"/>
  <c r="F368" i="7"/>
  <c r="F367" i="7"/>
  <c r="F366" i="7"/>
  <c r="F365" i="7"/>
  <c r="F364" i="7"/>
  <c r="F363" i="7"/>
  <c r="F362" i="7"/>
  <c r="F361" i="7"/>
  <c r="F352" i="7"/>
  <c r="F347" i="7"/>
  <c r="F346" i="7"/>
  <c r="F345" i="7"/>
  <c r="F350" i="7"/>
  <c r="F349" i="7"/>
  <c r="F348" i="7"/>
  <c r="F344" i="7"/>
  <c r="F343" i="7"/>
  <c r="F342" i="7"/>
  <c r="F341" i="7"/>
  <c r="F340" i="7"/>
  <c r="F339" i="7"/>
  <c r="F338" i="7"/>
  <c r="F337" i="7"/>
  <c r="F336" i="7"/>
  <c r="F335" i="7"/>
  <c r="F297" i="7"/>
  <c r="F296" i="7"/>
  <c r="F294" i="7"/>
  <c r="F293" i="7"/>
  <c r="F292" i="7"/>
  <c r="F291" i="7"/>
  <c r="F290" i="7"/>
  <c r="F289" i="7"/>
  <c r="F288" i="7"/>
  <c r="F287" i="7"/>
  <c r="F286" i="7"/>
  <c r="F279" i="7"/>
  <c r="F282" i="7"/>
  <c r="F281" i="7"/>
  <c r="F283" i="7"/>
  <c r="F278" i="7"/>
  <c r="F280" i="7"/>
  <c r="F295" i="7"/>
  <c r="F284" i="7"/>
  <c r="F285" i="7"/>
  <c r="F273" i="7"/>
  <c r="F276" i="7"/>
  <c r="F275" i="7"/>
  <c r="F274" i="7"/>
  <c r="F272" i="7"/>
  <c r="F271" i="7"/>
  <c r="F268" i="7"/>
  <c r="F265" i="7"/>
  <c r="F266" i="7"/>
  <c r="F264" i="7"/>
  <c r="F270" i="7"/>
  <c r="F263" i="7"/>
  <c r="F269" i="7"/>
  <c r="F267" i="7"/>
  <c r="F262" i="7"/>
  <c r="F251" i="7"/>
  <c r="F252" i="7"/>
  <c r="F254" i="7"/>
  <c r="F258" i="7"/>
  <c r="F255" i="7"/>
  <c r="F256" i="7"/>
  <c r="F257" i="7"/>
  <c r="F253" i="7"/>
  <c r="F249" i="7"/>
  <c r="F248" i="7"/>
  <c r="F244" i="7"/>
  <c r="F239" i="7"/>
  <c r="F242" i="7"/>
  <c r="F240" i="7"/>
  <c r="F241" i="7"/>
  <c r="F243" i="7"/>
  <c r="F234" i="7"/>
  <c r="F235" i="7"/>
  <c r="F229" i="7"/>
  <c r="F232" i="7"/>
  <c r="F230" i="7"/>
  <c r="F231" i="7"/>
  <c r="F233" i="7"/>
  <c r="F228" i="7"/>
  <c r="F227" i="7"/>
  <c r="F225" i="7"/>
  <c r="F224" i="7"/>
  <c r="F223" i="7"/>
  <c r="F222" i="7"/>
  <c r="F221" i="7"/>
  <c r="F220" i="7"/>
  <c r="F219" i="7"/>
  <c r="F218" i="7"/>
  <c r="F217" i="7"/>
  <c r="F216" i="7"/>
  <c r="F215" i="7"/>
  <c r="F214" i="7"/>
  <c r="F213" i="7"/>
  <c r="F201" i="7"/>
  <c r="F200" i="7"/>
  <c r="F197" i="7"/>
  <c r="F196" i="7"/>
  <c r="F195" i="7"/>
  <c r="F194" i="7"/>
  <c r="F193" i="7"/>
  <c r="F192" i="7"/>
  <c r="F191" i="7"/>
  <c r="F190" i="7"/>
  <c r="F189" i="7"/>
  <c r="F188" i="7"/>
  <c r="F187" i="7"/>
  <c r="F186" i="7"/>
  <c r="F185" i="7"/>
  <c r="F184" i="7"/>
  <c r="F183" i="7"/>
  <c r="F182" i="7"/>
  <c r="F181" i="7"/>
  <c r="F180" i="7"/>
  <c r="F179" i="7"/>
  <c r="F178" i="7"/>
  <c r="F177" i="7"/>
  <c r="F176" i="7"/>
  <c r="F175" i="7"/>
  <c r="F174" i="7"/>
  <c r="F170" i="7"/>
  <c r="F169" i="7"/>
  <c r="F168" i="7"/>
  <c r="F167" i="7"/>
  <c r="F166" i="7"/>
  <c r="F165" i="7"/>
  <c r="F164" i="7"/>
  <c r="F163" i="7"/>
  <c r="F162" i="7"/>
  <c r="F161" i="7"/>
  <c r="F160" i="7"/>
  <c r="F159" i="7"/>
  <c r="F158" i="7"/>
  <c r="F152" i="7"/>
  <c r="F151" i="7"/>
  <c r="F144" i="7"/>
  <c r="F148" i="7"/>
  <c r="F147" i="7"/>
  <c r="F145" i="7"/>
  <c r="F149" i="7"/>
  <c r="F143" i="7"/>
  <c r="F150" i="7"/>
  <c r="F142" i="7"/>
  <c r="F153" i="7"/>
  <c r="F141" i="7"/>
  <c r="F146" i="7"/>
  <c r="F139" i="7"/>
  <c r="F138" i="7"/>
  <c r="F137" i="7"/>
  <c r="F136" i="7"/>
  <c r="F135" i="7"/>
  <c r="F134" i="7"/>
  <c r="F133" i="7"/>
  <c r="F132" i="7"/>
  <c r="F131" i="7"/>
  <c r="F130" i="7"/>
  <c r="F129" i="7"/>
  <c r="F128" i="7"/>
  <c r="F127" i="7"/>
  <c r="F126" i="7"/>
  <c r="F125" i="7"/>
  <c r="F124" i="7"/>
  <c r="F123" i="7"/>
  <c r="F122" i="7"/>
  <c r="F121" i="7"/>
  <c r="F119" i="7"/>
  <c r="F118" i="7"/>
  <c r="F117" i="7"/>
  <c r="F116" i="7"/>
  <c r="F115" i="7"/>
  <c r="F112" i="7"/>
  <c r="F114" i="7"/>
  <c r="F113" i="7"/>
  <c r="F109" i="7"/>
  <c r="F108" i="7"/>
  <c r="F107" i="7"/>
  <c r="F106" i="7"/>
  <c r="F105" i="7"/>
  <c r="F104" i="7"/>
  <c r="F103" i="7"/>
  <c r="F102" i="7"/>
  <c r="F101" i="7"/>
  <c r="F100" i="7"/>
  <c r="F99" i="7"/>
  <c r="F98" i="7"/>
  <c r="F97" i="7"/>
  <c r="F88" i="7"/>
  <c r="F83" i="7"/>
  <c r="F85" i="7"/>
  <c r="F82" i="7"/>
  <c r="F86" i="7"/>
  <c r="F81" i="7"/>
  <c r="F80" i="7"/>
  <c r="F92" i="7"/>
  <c r="F91" i="7"/>
  <c r="F90" i="7"/>
  <c r="F89" i="7"/>
  <c r="F87" i="7"/>
  <c r="F76" i="7"/>
  <c r="F74" i="7"/>
  <c r="F73" i="7"/>
  <c r="F72" i="7"/>
  <c r="F71" i="7"/>
  <c r="F70" i="7"/>
  <c r="F68" i="7"/>
  <c r="F67" i="7"/>
  <c r="F66" i="7"/>
  <c r="F65" i="7"/>
  <c r="F64" i="7"/>
  <c r="F63" i="7"/>
  <c r="F62" i="7"/>
  <c r="F61" i="7"/>
  <c r="F60" i="7"/>
  <c r="F59" i="7"/>
  <c r="F58" i="7"/>
  <c r="F57" i="7"/>
  <c r="F56" i="7"/>
  <c r="F55" i="7"/>
  <c r="F54" i="7"/>
  <c r="F53" i="7"/>
  <c r="F52" i="7"/>
  <c r="F51" i="7"/>
  <c r="F50" i="7"/>
  <c r="F49" i="7"/>
  <c r="F48" i="7"/>
  <c r="F45" i="7"/>
  <c r="F40" i="7"/>
  <c r="F44" i="7"/>
  <c r="F43" i="7"/>
  <c r="F31" i="7"/>
  <c r="F35" i="7"/>
  <c r="F36" i="7"/>
  <c r="F38" i="7"/>
  <c r="F37" i="7"/>
  <c r="F39" i="7"/>
  <c r="F41" i="7"/>
  <c r="F32" i="7"/>
  <c r="F34" i="7"/>
  <c r="F33" i="7"/>
  <c r="F30" i="7"/>
  <c r="F42" i="7"/>
  <c r="F27" i="7"/>
  <c r="F26" i="7"/>
  <c r="F25" i="7"/>
  <c r="F24" i="7"/>
  <c r="F21" i="7"/>
  <c r="F20" i="7"/>
  <c r="F19" i="7"/>
  <c r="F18" i="7"/>
  <c r="F17" i="7"/>
  <c r="F16" i="7"/>
  <c r="F15" i="7"/>
  <c r="F14" i="7"/>
  <c r="F13" i="7"/>
  <c r="F10" i="7"/>
  <c r="F9" i="7"/>
  <c r="F8" i="7"/>
  <c r="F7" i="7"/>
  <c r="F6" i="7"/>
  <c r="F5" i="7"/>
  <c r="F4" i="7"/>
  <c r="F3" i="7"/>
  <c r="D22" i="1"/>
  <c r="D20" i="1"/>
  <c r="F63" i="1"/>
  <c r="F25" i="1"/>
  <c r="D48" i="1"/>
  <c r="D17" i="1"/>
  <c r="F68" i="1"/>
  <c r="F52" i="1"/>
  <c r="F14" i="1"/>
  <c r="F28" i="1"/>
  <c r="F42" i="1"/>
  <c r="F36" i="1"/>
  <c r="D42" i="1"/>
  <c r="F11" i="1"/>
  <c r="D37" i="1"/>
  <c r="D26" i="1"/>
  <c r="F30" i="1"/>
  <c r="F50" i="1"/>
  <c r="F12" i="1"/>
  <c r="F9" i="1"/>
  <c r="F21" i="1"/>
  <c r="D32" i="1"/>
  <c r="D30" i="1"/>
  <c r="F40" i="1"/>
  <c r="D9" i="1"/>
  <c r="F41" i="1"/>
  <c r="D15" i="1"/>
  <c r="F33" i="1"/>
  <c r="D57" i="1"/>
  <c r="D25" i="1"/>
  <c r="D14" i="1"/>
  <c r="D11" i="1"/>
  <c r="D64" i="1"/>
  <c r="F67" i="1"/>
  <c r="D63" i="1"/>
  <c r="D18" i="1"/>
  <c r="D58" i="1"/>
  <c r="F22" i="1"/>
  <c r="D27" i="1"/>
  <c r="D31" i="1"/>
  <c r="D47" i="1"/>
  <c r="F48" i="1"/>
  <c r="D21" i="1"/>
  <c r="F66" i="1"/>
  <c r="F20" i="1"/>
  <c r="D65" i="1"/>
  <c r="F24" i="1"/>
  <c r="F55" i="1"/>
  <c r="F7" i="1"/>
  <c r="F46" i="1"/>
  <c r="F6" i="1"/>
  <c r="F39" i="1"/>
  <c r="F19" i="1"/>
  <c r="D61" i="1"/>
  <c r="D60" i="1"/>
  <c r="D44" i="1"/>
  <c r="F10" i="1"/>
  <c r="F69" i="1"/>
  <c r="D62" i="1"/>
  <c r="F64" i="1"/>
  <c r="F31" i="1"/>
  <c r="F23" i="1"/>
  <c r="D55" i="1"/>
  <c r="D35" i="1"/>
  <c r="F70" i="1"/>
  <c r="D39" i="1"/>
  <c r="D51" i="1"/>
  <c r="F5" i="1"/>
  <c r="F35" i="1"/>
  <c r="D36" i="1"/>
  <c r="D68" i="1"/>
  <c r="D16" i="1"/>
  <c r="D10" i="1"/>
  <c r="F34" i="1"/>
  <c r="D5" i="1"/>
  <c r="D46" i="1"/>
  <c r="F58" i="1"/>
  <c r="D53" i="1"/>
  <c r="D19" i="1"/>
  <c r="F53" i="1"/>
  <c r="D24" i="1"/>
  <c r="F60" i="1"/>
  <c r="D50" i="1"/>
  <c r="D56" i="1"/>
  <c r="D49" i="1"/>
  <c r="F32" i="1"/>
  <c r="D2" i="1"/>
  <c r="D52" i="1"/>
  <c r="F17" i="1"/>
  <c r="D54" i="1"/>
  <c r="F44" i="1"/>
  <c r="D12" i="1"/>
  <c r="D69" i="1"/>
  <c r="F16" i="1"/>
  <c r="F59" i="1"/>
  <c r="D67" i="1"/>
  <c r="F26" i="1"/>
  <c r="F13" i="1"/>
  <c r="F49" i="1"/>
  <c r="D40" i="1"/>
  <c r="D70" i="1"/>
  <c r="D23" i="1"/>
  <c r="D33" i="1"/>
  <c r="D7" i="1"/>
  <c r="D13" i="1"/>
  <c r="D6" i="1"/>
  <c r="F43" i="1"/>
  <c r="D66" i="1"/>
  <c r="H6" i="8" l="1"/>
  <c r="H10" i="8"/>
  <c r="H4" i="9"/>
  <c r="I4" i="9" s="1"/>
  <c r="H5" i="9"/>
  <c r="H6" i="9"/>
  <c r="H7" i="9"/>
  <c r="H8" i="9"/>
  <c r="H9" i="9"/>
  <c r="H10" i="9"/>
  <c r="H7" i="8"/>
  <c r="H11" i="8"/>
  <c r="H4" i="8"/>
  <c r="I4" i="8" s="1"/>
  <c r="H8" i="8"/>
  <c r="H4" i="10"/>
  <c r="I4" i="10" s="1"/>
  <c r="H5" i="10"/>
  <c r="H6" i="10"/>
  <c r="H7" i="10"/>
  <c r="H8" i="10"/>
  <c r="H9" i="10"/>
  <c r="H4" i="11"/>
  <c r="I4" i="11" s="1"/>
  <c r="G10" i="11"/>
  <c r="H5" i="11"/>
  <c r="H6" i="11"/>
  <c r="H7" i="11"/>
  <c r="H8" i="11"/>
  <c r="H9" i="11"/>
  <c r="H5" i="8"/>
  <c r="H9" i="8"/>
  <c r="I5" i="11" l="1"/>
  <c r="I6" i="11" s="1"/>
  <c r="I7" i="11" s="1"/>
  <c r="I8" i="11" s="1"/>
  <c r="I9" i="11" s="1"/>
  <c r="I5" i="9"/>
  <c r="I6" i="9" s="1"/>
  <c r="I7" i="9" s="1"/>
  <c r="I8" i="9" s="1"/>
  <c r="I9" i="9" s="1"/>
  <c r="I10" i="9" s="1"/>
  <c r="I5" i="10"/>
  <c r="I6" i="10" s="1"/>
  <c r="I7" i="10" s="1"/>
  <c r="I8" i="10" s="1"/>
  <c r="I9" i="10" s="1"/>
  <c r="I10" i="10" s="1"/>
  <c r="I5" i="8"/>
  <c r="I6" i="8" s="1"/>
  <c r="I7" i="8" s="1"/>
  <c r="I8" i="8" s="1"/>
  <c r="I9" i="8" s="1"/>
  <c r="I10" i="8" s="1"/>
  <c r="I11" i="8" s="1"/>
</calcChain>
</file>

<file path=xl/sharedStrings.xml><?xml version="1.0" encoding="utf-8"?>
<sst xmlns="http://schemas.openxmlformats.org/spreadsheetml/2006/main" count="11430" uniqueCount="2074">
  <si>
    <t>ID</t>
  </si>
  <si>
    <t>AÑO</t>
  </si>
  <si>
    <t>FACTOR</t>
  </si>
  <si>
    <t>PROCESO</t>
  </si>
  <si>
    <t>CAUSA</t>
  </si>
  <si>
    <t>CLASIFICACIÓN</t>
  </si>
  <si>
    <t>SUBCLASIFICACIÓN</t>
  </si>
  <si>
    <t>DEBILIDAD</t>
  </si>
  <si>
    <t>PROCESO GESTIÓN ADMISIONES Y REGISTRO</t>
  </si>
  <si>
    <t xml:space="preserve">TALENTO HUMANO </t>
  </si>
  <si>
    <t>COMPETENCIA</t>
  </si>
  <si>
    <t>MANAGEMENT</t>
  </si>
  <si>
    <t>EQUIPO, TECNOLOGÍA E INFRAESTRUCTURA</t>
  </si>
  <si>
    <t>INSTALACIONES</t>
  </si>
  <si>
    <t xml:space="preserve">COMUNICACIÓN </t>
  </si>
  <si>
    <t>ROLES Y RESPONSABILIDADES</t>
  </si>
  <si>
    <t xml:space="preserve">MEDICIÓN </t>
  </si>
  <si>
    <t xml:space="preserve">SEGUIMIENTO Y CONTROL </t>
  </si>
  <si>
    <t xml:space="preserve">TOMA DE CONCIENCIA </t>
  </si>
  <si>
    <t>D1. Dependencia de otras áreas para la ejecución de las actividades del proceso, que generan retrasos</t>
  </si>
  <si>
    <t>ARTICULACIÓN DE PROCESOS</t>
  </si>
  <si>
    <t>D2. Los consejos de Facultad y las direcciones de programa no envían oportunamente a la oficina de Admisiones y Registro, las actas de consejo, actas de sustentación y vistos buenos, para iniciar el proceso de Revisión de carpeta y Novedades Académicas.</t>
  </si>
  <si>
    <t>TIEMPOS</t>
  </si>
  <si>
    <t xml:space="preserve">D3. Demora de la oficina de tesorería en cargar archivos planos de los pagos realizados por parte de los estudiantes y aspirantes. </t>
  </si>
  <si>
    <t>D4. Falta de digitación oportuna de Notas por parte de los docentes de los diferentes programas Académicos.</t>
  </si>
  <si>
    <t>D5. Falta asegurar la gestión del conocimiento en el proceso</t>
  </si>
  <si>
    <t>GESTIÓN DEL CONOCIMIENTO</t>
  </si>
  <si>
    <t>D6. La estructura orgánica es inapropiada para la ejecución de los planes, lo que hace que los trámites sean mas demorados</t>
  </si>
  <si>
    <t>D7. Falta fortalecer el pilar estratégico de la trasnhumanidad en el proceso (ambiente laboral)</t>
  </si>
  <si>
    <t>D8. Falta realizar seguimiento al incumplimiento de metas frente a los indicadores del proceso</t>
  </si>
  <si>
    <t>D9. Falta de presentación oportuna de los compromisos del Sistema de Gestión de la Calidad.</t>
  </si>
  <si>
    <t xml:space="preserve">D3. Demora de la oficina de tesorería en cargar archivos planos de los pagos realizados por factores exógenos de los estudiantes y aspirantes. </t>
  </si>
  <si>
    <t>SOFTWARE Y PLATAFORMAS</t>
  </si>
  <si>
    <t>SUFICIENCIA</t>
  </si>
  <si>
    <t>PROCESO GESTIÓN APOYO ACADÉMICO</t>
  </si>
  <si>
    <t>REDES</t>
  </si>
  <si>
    <t>D2. No se cuenta con un profesional que lidere los laboratorios de sede, seccionales y extensiones. Como lo tiene bibliotecas y granjas.</t>
  </si>
  <si>
    <t>D3. Infraestructura limitada para los laboratorios.</t>
  </si>
  <si>
    <t>D4. Falta de articulación de los diferentes actores en la formulación y ejecución de los proyectos aprobados por el COUNFIS y planeación institucional encaminados al mejoramiento de los espacios académicos adscritos a la unidad de apoyo académico.</t>
  </si>
  <si>
    <t>D5.Elementos académicos que no cuenten con las condiciones mínimas para su préstamo</t>
  </si>
  <si>
    <t>HERRAMIENTAS</t>
  </si>
  <si>
    <t>CONTINUIDAD</t>
  </si>
  <si>
    <t>MONEDA</t>
  </si>
  <si>
    <t>PRESUPUESTO</t>
  </si>
  <si>
    <t>D1. El alcance del proceso es demasiado  grande teniendo en cuenta la cantidad de espacios académicos presentes en las unidades regionales y manejando la oficina centralizada en la sede, lo que no permite tener un impacto eficiente. (no hacen uso de los sistemas de  información con los que cuenta el proceso).</t>
  </si>
  <si>
    <t>LIDERAZGO</t>
  </si>
  <si>
    <t xml:space="preserve">D6. Cargue inoportuno de documentos en el repositorio institucional de la biblioteca en seccionales y extensiones. </t>
  </si>
  <si>
    <t>D7.Falta de asignación de recursos económicos para garantizar el mantenimiento preventivo, correctivo y calibración.</t>
  </si>
  <si>
    <t>D8. El reporte no oportuno de los demás procesos (Investigación, Docencia) en cuanto a sus necesidades de recursos académicos tales como: Calibración de Equipos, Licenciamiento de Software y Recursos Bibliográficos.</t>
  </si>
  <si>
    <t>D9. Falta condiciones para el almacenamiento de químicos en laboratorios.</t>
  </si>
  <si>
    <t>D10. No aprovechamiento de los recursos de apoyo por parte de la academia</t>
  </si>
  <si>
    <t>D11. El reporte no oportuno de los demás procesos(Investigación - Formación y Aprendizaje): Calibración y mantenimiento de Equipos.</t>
  </si>
  <si>
    <t>COMUNICACIÓN</t>
  </si>
  <si>
    <t>D12. Falta asegurar la aplicación de los criterios en cuanto a la priorización de los mantenimientos</t>
  </si>
  <si>
    <t>D8. El reporte no oportuno del proceso Formación y Aprendizaje en cuanto a sus necesidades de recursos académicos tales como: actualización de Licenciamiento de Software y Recursos Bibliográficos.</t>
  </si>
  <si>
    <t>D12. Falta asegurar la aplicación de los criterios en cuanto a la priorización de los mantenimientos.</t>
  </si>
  <si>
    <t>INFORMACIÓN</t>
  </si>
  <si>
    <t xml:space="preserve">PROCESO GESTIÓN AUTOEVALUACIÓN Y ACREDITACIÓN </t>
  </si>
  <si>
    <t xml:space="preserve">PLANIFICACIÓN </t>
  </si>
  <si>
    <t>MEDIO AMBIENTE</t>
  </si>
  <si>
    <t xml:space="preserve">BIENESTAR LABORAL </t>
  </si>
  <si>
    <t>PROCESO GESTIÓN AUTOEVALUACIÓN Y ACREDITACIÓN</t>
  </si>
  <si>
    <t>GESTIÓN DEL CAMBIO</t>
  </si>
  <si>
    <t>D3. Alta rotación del personal docente de los equipos de autoevaluación y acreditación y coordinadores de programa</t>
  </si>
  <si>
    <t>D4: Desinformación de la comunidad académica sobre los procesos de registro calificado, acreditación de programas.</t>
  </si>
  <si>
    <t>D5. Tiempos limitados en la dedicación académica de los profesores para atender los procesos de autoevaluación, acreditación y registro calificado</t>
  </si>
  <si>
    <t>D6. Falta estudio del contexto para la oferta de programas nuevos</t>
  </si>
  <si>
    <t>D7. Errores tipográficos en la sistematización de la información</t>
  </si>
  <si>
    <t xml:space="preserve">SISTEMATIZACIÓN </t>
  </si>
  <si>
    <t>PROCESO GESTIÓN BIENES Y SERVICIOS</t>
  </si>
  <si>
    <t>NORMATIVIDAD</t>
  </si>
  <si>
    <t>IMPLEMENTACIÓN</t>
  </si>
  <si>
    <t>D1. Falta de actualización permanente en temas relacionados a la naturaleza del proceso de contratación.</t>
  </si>
  <si>
    <t>D2. No es suficiente la asignación del rubro presupuestal para la ejecución de las actividades del presupuesto.</t>
  </si>
  <si>
    <t>D3. Falta de un política de modernización permanente del parque automotor.</t>
  </si>
  <si>
    <t>D4. Desconocimiento de los bienes con los que cuenta la Universidad y frente a los inmuebles no se ejerce control de los mismo por el distanciamiento que hay de la sede principal de la Universidad.</t>
  </si>
  <si>
    <t>D5. Personal Insuficiente y no remunerado de acuerdo a su perfil para las actividades del Proceso.</t>
  </si>
  <si>
    <t>D6. El Modelo y los tiempos de contratación directa de la Universidad son demasiado extensos, afectando la Institucionalidad.</t>
  </si>
  <si>
    <t>D7. Falta de mecanismos que permitan la localización permanente del parque automotor a disposición de la Comunidad Universitaria.</t>
  </si>
  <si>
    <t xml:space="preserve">D8. La información remitida por los procesos en ocasiones no cumple de manera completa, causando reprocesos en las  actividades. </t>
  </si>
  <si>
    <t>D9. Falta de seguimiento a la ejecución contractual por parte del supervisor.</t>
  </si>
  <si>
    <t>D12. Mala clasificación de los bienes</t>
  </si>
  <si>
    <t>D13. Registro no oportuno de los ingresos por las diferentes modalidades</t>
  </si>
  <si>
    <t>D14. Fallas del contratista y/o supervisor durante la ejecución de la orden contractual o contrato.</t>
  </si>
  <si>
    <t>D15. Falta de un control eficiente que permita salvaguardar el parque automotor y la Planta Física</t>
  </si>
  <si>
    <t>D16. Traslado de elementos devolutivos sin la debida comunicación con Almacén (ABSr037)</t>
  </si>
  <si>
    <t>D17. Fallas en la inspección de la Planta Física que genera el Cronograma de Mantenimiento de la misma</t>
  </si>
  <si>
    <t>D18. Falta de competencia e idoneidad por parte de algunos supervisores</t>
  </si>
  <si>
    <t>D2. No es suficiente la asignación del rubro presupuestal para la ejecución de las actividades del proceso.</t>
  </si>
  <si>
    <t>PROCESO GESTIÓN BIENESTAR UNIVERSITARIO</t>
  </si>
  <si>
    <t xml:space="preserve">D2. La carga operativa del proceso es amplia y no se cuenta con el personal suficiente. (áreas interdisciplinares y psicosociales) </t>
  </si>
  <si>
    <t>D3. Falta de software que se ajuste a las necesidades del proceso (Permanencia y Campos de Aprendizaje).</t>
  </si>
  <si>
    <t>D4. Falta de  infraestructura física y acceso adecuado a la comunidad universitaria para la prestación del Servicio en algunas Seccionales y Extensiones</t>
  </si>
  <si>
    <t>UBICACIÓN Y ACCESO</t>
  </si>
  <si>
    <t>D5. No es suficiente la asignación del rubro presupuestal para la ejecución de las actividades.</t>
  </si>
  <si>
    <t>D6. Falta mejorar las Herramientas y aplicaciones de seguimiento y materialización del proceso</t>
  </si>
  <si>
    <t>D7. Horarios de atención en servicios de salud No acordes con las jornadas de la Universidad</t>
  </si>
  <si>
    <t>D8. Profesionales que no cuentan con la capacitación para la atención en primeros auxilios</t>
  </si>
  <si>
    <t>D9. Los equipos de medición del proceso de bienestar universitario no cuentan con mantenimiento y calibración</t>
  </si>
  <si>
    <t>D1. Destinación de Recursos propios para actividades de contratación de personal afectan el desarrollo de actividades propias del proceso.</t>
  </si>
  <si>
    <t>D3.Falta de software que se ajuste a las necesidades del proceso</t>
  </si>
  <si>
    <t>D5. Horarios de atención en bienestar saludable no acordes con las jornadas de la Universidad</t>
  </si>
  <si>
    <t>PROCESO GESTIÓN CIENCIA, TECNOLOGÍA E INNOVACIÓN</t>
  </si>
  <si>
    <t>RESULTADOS</t>
  </si>
  <si>
    <t>INSUMOS</t>
  </si>
  <si>
    <t xml:space="preserve">CONSUMO  </t>
  </si>
  <si>
    <t>TRAZABILIDAD</t>
  </si>
  <si>
    <t>PROCEDIMIENTOS</t>
  </si>
  <si>
    <t>D1. Falta de espacios académicos para la investigación</t>
  </si>
  <si>
    <t>D2. Pocos productos como resultados de Proyectos de investigación</t>
  </si>
  <si>
    <t>D3. No se tiene establecido los parámetros para retirar el aval institucional a: líneas, grupos.</t>
  </si>
  <si>
    <t>D4. No cumplir con los tiempos  establecidos para la revisión de solicitudes ante el CDI</t>
  </si>
  <si>
    <t>D5. Manejo de la información en físico</t>
  </si>
  <si>
    <t>D6. Contratos por tiempos cortos de Investigadores y personal administrativo.</t>
  </si>
  <si>
    <t>D7. Demora en los procesos administrativos y financieros para el desembolso de los recursos</t>
  </si>
  <si>
    <t xml:space="preserve">D8. Cambios inesperados en los procedimientos administrativos. </t>
  </si>
  <si>
    <t>D9. No acogerse a los procedimientos establecidos</t>
  </si>
  <si>
    <t>D10. No se reporta la evaluación de Desempeño de las Líneas, Grupos y Semilleros de Investigación por los responsables</t>
  </si>
  <si>
    <t>D11.  No reportan las actualizaciones de integrantes, de grupos, semilleros y proyectos de investigación</t>
  </si>
  <si>
    <t>D12. No cumplimiento de lo pactado en el acta de compromiso de los proyectos de investigación y transferencias de resultados</t>
  </si>
  <si>
    <t xml:space="preserve">D13. Falta de ejecución de convenios. </t>
  </si>
  <si>
    <t>D14.El proceso carece de  los   Insumos necesarios  para la ejecución de los proyectos.</t>
  </si>
  <si>
    <t xml:space="preserve">D15. Se identifica la necesidad de implementar un Software adecuado el proceso de investigación.  </t>
  </si>
  <si>
    <t xml:space="preserve">D16. No cumplir con las metas de los objetivos establecidos en el proceso. </t>
  </si>
  <si>
    <t>D17. Realizar investigaciones con equipos sin mantenimiento y/o calibración</t>
  </si>
  <si>
    <t>D18. Desconocimiento del equipo de trabajo de las Políticas Institucionales aprobadas en otros procesos.</t>
  </si>
  <si>
    <t xml:space="preserve">D19. Estrategias que faciliten la conectividad para el personal que se encuentre en modalidad de trabajo en casa. </t>
  </si>
  <si>
    <t xml:space="preserve">D20. Falta de actualizaciones de los aplicativos tecnológicos con los que cuenta el proceso. </t>
  </si>
  <si>
    <t>D1. Falta de espacios académicos para la investigación (Laboratorios académicos).</t>
  </si>
  <si>
    <t>D13. Demora en la liquidación de los convenios ejecutados. (Modificación)</t>
  </si>
  <si>
    <t xml:space="preserve">D15. No cumplir con las metas de los objetivos establecidos en el proceso. </t>
  </si>
  <si>
    <t>D16. Realizar investigaciones con equipos sin mantenimiento y/o calibración</t>
  </si>
  <si>
    <t>D17. Desconocimiento del equipo de trabajo de las Políticas Institucionales aprobadas en otros procesos.</t>
  </si>
  <si>
    <t xml:space="preserve">D18. Estrategias que faciliten la conectividad para el personal que se encuentre en modalidad de trabajo en casa. </t>
  </si>
  <si>
    <t xml:space="preserve">D19. Falta de actualizaciones de los aplicativos tecnológicos con los que cuenta el proceso y/o automatización de los procedimientos pendientes. (Modificación) </t>
  </si>
  <si>
    <t xml:space="preserve">D20. Falta de apropiación del conocimiento por parte de la comunidad académica y/o administrativa en relación a metrología. </t>
  </si>
  <si>
    <t xml:space="preserve">D21. Desconocimiento de las consecuencias relacionadas con los efectos que puede tener la pandemia en el desarrollo de los proyectos de investigación, con efectos sobre su avance, la financiación y en los resultados esperados. </t>
  </si>
  <si>
    <t>D22.No se asegura el control de la información documentada asociada a los proyectos de investigación.</t>
  </si>
  <si>
    <t>DOCUMENTACIÓN</t>
  </si>
  <si>
    <t>PROCESO GESTIÓN COMUNICACIONES</t>
  </si>
  <si>
    <t>D2: Equipos insuficientes para la operación del proceso (Cámaras de televisión, micrófonos, luces, trípodes, baterías, teléfonos, almacenamiento de los equipos)</t>
  </si>
  <si>
    <t xml:space="preserve">D3: El proceso de la Oficina Asesora no cuenta con un servidor propio ni unidades de almacenamiento </t>
  </si>
  <si>
    <t>POSICIONAMIENTO</t>
  </si>
  <si>
    <t>LIQUIDEZ</t>
  </si>
  <si>
    <t>INDICADORES</t>
  </si>
  <si>
    <t>APOYO DE TERCEROS</t>
  </si>
  <si>
    <t xml:space="preserve">D1. Inestabilidad laboral relacionada con el modelo de contratación de la Universidad. </t>
  </si>
  <si>
    <t>D4. No se puede contar con el apoyo de pasantes dado que los perfiles académicos no se adaptan a las necesidades del proceso</t>
  </si>
  <si>
    <t>D5: La asignación de recursos financieros para la contratación del personal especializado para el proceso de comunicaciones es limitado, lo que ocasiona una alta rotación del mismo.</t>
  </si>
  <si>
    <t>D6. Establecimiento de programas de mantenimiento preventivo para los equipos del proceso</t>
  </si>
  <si>
    <t xml:space="preserve">D7: Proceso de compras complejo y demorado. </t>
  </si>
  <si>
    <t>D8.Insuficiencia de recursos físicos y económicos para el transporte seguro y oportuno en el cubrimiento de eventos en las diferentes sedes de la Universidad.</t>
  </si>
  <si>
    <t>D9. Falta de capacitaciones al talento humano del proceso de comunicaciones en temas que permitan el fortalecimiento de sus competencias técnicas.</t>
  </si>
  <si>
    <t>D10. Incumplimiento con los lineamientos del manual en su última versión</t>
  </si>
  <si>
    <t>D11. La cobertura del internet no es optima dentro de las instalaciones</t>
  </si>
  <si>
    <t>D12. Inoportunidad en el suministro de la información y de tiempos establecidos para la producción del servicio requerido.</t>
  </si>
  <si>
    <t>D13. Mal funcionamiento de las carteleras digitales en seccionales y extensiones a causa de problemas técnicos</t>
  </si>
  <si>
    <t>D14. Manejo de redes sociales institucionales por parte de los procesos en seccionales y extensiones sin control de imagen institucional dada la necesidad de comunicación inmediata con la comunidad académica como plan de contingencia ante circunstancias de calamidad pública</t>
  </si>
  <si>
    <t>D15. Alto volumen de solicitudes de publicación web lo que ocasiona una alta carga laboral para el proceso</t>
  </si>
  <si>
    <t>D16. Excesivo flujo de información lo que puede generar infoxicación en el equipo de trabajo</t>
  </si>
  <si>
    <t>D17. Falta de organización y estructuración de los archivos y de la información a publicar por parte de los procesos</t>
  </si>
  <si>
    <t>D18. No se cuenta con lenguaje claro en la denominación de los archivos para el sitio web de solicitudes públicas a cotizar</t>
  </si>
  <si>
    <t>D5. La asignación de recursos financieros para la contratación del personal especializado para el proceso de comunicaciones es limitado, lo que ocasiona la rotación del mismo.</t>
  </si>
  <si>
    <t xml:space="preserve">D6. Falta del servicio de mantenimiento preventivo y correctivo para los equipos del proceso </t>
  </si>
  <si>
    <t>D12. Inoportunidad e imprecisión en el suministro de la información y de tiempos establecidos para la producción o publicación del servicio requerido</t>
  </si>
  <si>
    <t>D13. Alto volumen de solicitudes de publicación web lo que ocasiona una alta carga laboral para el proceso</t>
  </si>
  <si>
    <t>D14. Excesivo flujo de información lo que puede generar infoxicación en el equipo de trabajo</t>
  </si>
  <si>
    <t>D15. Falta de organización y estructuración de los archivos y de la información a publicar por parte de los procesos</t>
  </si>
  <si>
    <t>D16. No se cuenta con lenguaje claro en la denominación de los archivos para el sitio web de solicitudes públicas a cotizar</t>
  </si>
  <si>
    <t>MEDIOS DE TRANSPORTE</t>
  </si>
  <si>
    <t>PROCESO GESTIÓN DIALOGANDO CON EL MUNDO</t>
  </si>
  <si>
    <t>D2. No contar con un espacio físico adecuado a las necesidades del proceso.</t>
  </si>
  <si>
    <t>RELACIONAMIENTO</t>
  </si>
  <si>
    <t>DESARROLLO PROFESIONAL</t>
  </si>
  <si>
    <t xml:space="preserve">COMPETITIVIDAD </t>
  </si>
  <si>
    <t>D1. No contar con suficiente talento humano para desarrollar las actividades del proceso Dialogando con el Mundo.</t>
  </si>
  <si>
    <t xml:space="preserve">D3. No contar con el acceso a la información financiera, genera inestabilidad en el manejo del rubro. </t>
  </si>
  <si>
    <t>D4. No se cuenta con las horas indirectas en los contratos de los maestros suficiente para la visibilidad institucional,   nacional e internacional de Dialogando con el Mundo (horas Docentes por facultad).</t>
  </si>
  <si>
    <t>D5.Falta de institucionalización de la oficina de relaciones internacionales ORI.</t>
  </si>
  <si>
    <t xml:space="preserve">D6. La Universidad de Cundinamarca al no estar bien posicionada  en el ranking internacional, no es visible como destino académico para estudiantes y docentes.  </t>
  </si>
  <si>
    <t>D7.No contar con articulación en el proceso de investigación y en la oficina de Ciencia, Tecnología e Innovación para generar un sistema internacional para la investigación conjunta.</t>
  </si>
  <si>
    <t xml:space="preserve">D8. No financiamiento de la internacionalización con entes externos. </t>
  </si>
  <si>
    <t>D9. No contar con recursos financieros necesarios para la realizar la movilidad a Europa, Norte América y Asia.(Cambio de moneda no favorece la movilidad a estos continentes).</t>
  </si>
  <si>
    <t>D10. Falta de talento humano que represente el proceso Dialogando con el Mundo en las seccionales y extensiones de la Universidad de Cundinamarca.</t>
  </si>
  <si>
    <t>D11. Faltan lineamientos que permitan la doble titulación en conjunto con las instituciones del exterior e internamente.</t>
  </si>
  <si>
    <t xml:space="preserve">D12. Demora en los procesos de contratación del talento humano. </t>
  </si>
  <si>
    <t xml:space="preserve">D13. No se cuenta con un perfil docente calificado para afrontar retos multilingües con base en proyectos de internacionalización en el currículo. </t>
  </si>
  <si>
    <t xml:space="preserve">D14. Falta de cultura académica en materia de internacionalización en casa. </t>
  </si>
  <si>
    <t>D15. Presupuesto limitado para gestión de la internacionalización en la UCundinamarca.</t>
  </si>
  <si>
    <t>D7. No contar con articulación con la Oficina de investigación del proceso Ciencia, Tecnología e Innovación para generar un sistema internacional para la investigación conjunta.</t>
  </si>
  <si>
    <t xml:space="preserve">D17. No se asegura el análisis y evaluación de los resultados generados por el seguimiento y medición de los indicadores establecidos para el proceso. </t>
  </si>
  <si>
    <t>PROCESO GESTIÓN CONTROL DISCIPLINARIO</t>
  </si>
  <si>
    <t xml:space="preserve">D1. Alta rotación de personal, lo que genera poco conocimiento de la entidad y sus procesos así como poco compromiso con el desarrollo de la gestión. </t>
  </si>
  <si>
    <t>D2. El modelo y los tiempos de contratación de la universidad es ineficiente</t>
  </si>
  <si>
    <t>D3. Falta de compromiso y apoyo en la labor preventiva que realiza la oficina, lo que se traduce en inasistencia a los eventos de capacitación.</t>
  </si>
  <si>
    <t>D4. Faltan convenios que permitan mejorar las relaciones internas y externas del proceso.</t>
  </si>
  <si>
    <t>D5. Se desconocen las necesidades de la comunidad académica y partes interesadas.</t>
  </si>
  <si>
    <t>D6. No se han aplicado procesos de capacitación o inducción para el fortalecimiento de competencias laborales de los funcionarios.</t>
  </si>
  <si>
    <t>D7. No se generan ambientes propicios para la innovación y aprendizaje continuo de los funcionarios.</t>
  </si>
  <si>
    <t>D8. El proceso no cuenta con mediciones que garanticen el bienestar de los funcionarios en el puesto de trabajo.</t>
  </si>
  <si>
    <t>D9. No cumplimiento del personal interno o externo frente a las diligencias citadas dentro de los procesos disciplinarios.</t>
  </si>
  <si>
    <t>D2. El aplicativo de Control Disciplinario no cumple con todos los requerimientos del Proceso.</t>
  </si>
  <si>
    <t>D3. El modelo y los tiempos de contratación de la universidad es ineficiente</t>
  </si>
  <si>
    <t>D4. Falta de compromiso y apoyo en la labor preventiva que realiza la oficina, lo que se traduce en inasistencia a los eventos de capacitación.</t>
  </si>
  <si>
    <t>D5. Faltan convenios con diferentes entidades públicas que permitan la capacitación y actualización en la normatividad técnica aplicable y de interés para el proceso.</t>
  </si>
  <si>
    <t>D9. No llevar a cabo las diligencias programadas en los términos establecidos dentro de los procesos disciplinarios, por la inasistencia del personal interno o externo citado.</t>
  </si>
  <si>
    <t xml:space="preserve">D10. Falta de colaboración institucional, frente a la inoportunidad en la entrega de información por parte de las dependencias. </t>
  </si>
  <si>
    <t>MEDIO (CONDICIONES DE TRABAJO)</t>
  </si>
  <si>
    <t>PROCESO GESTIÓN CONTROL INTERNO</t>
  </si>
  <si>
    <t>D1. No hay suficiente capacidad instalada para atender las necesidades de la Universidad.</t>
  </si>
  <si>
    <t>D2. Falta de sistematización en la Oficina.</t>
  </si>
  <si>
    <t>HARDWARE</t>
  </si>
  <si>
    <t>D3.Deficiente  infraestructura Tecnológica para el desarrollo eficaz de las actividades del proceso.</t>
  </si>
  <si>
    <t>D4. No identificación oportuna  de cambios normativos.</t>
  </si>
  <si>
    <t>D5. Debilidad de conocimiento respecto a los nuevos sistemas, modelos, normatividad adoptados por la Universidad de Cundinamarca.</t>
  </si>
  <si>
    <t>D6.Falta de entrega oportuna de  información por parte de los procesos para las actividades propias del proceso.</t>
  </si>
  <si>
    <t>D7. Perdida de información clave del proceso.</t>
  </si>
  <si>
    <t>D8. Falta de cobertura  de funcionarios  del proceso en seccionales  y extensiones.</t>
  </si>
  <si>
    <t xml:space="preserve">D9. Entrega de Información sin los parámetros establecidos de Confiabilidad, Veracidad, Calidad .( Firmas, Fechas, versiones actualizadas o cantidad de documentos entregables.) </t>
  </si>
  <si>
    <t>D10.No se cuenta con adaptación de infraestructura en temas de inclusión  .</t>
  </si>
  <si>
    <t xml:space="preserve">D11. No se cuenta con estrategias que fomenten la inclusión dentro de las actividades de los procedimientos del proceso. </t>
  </si>
  <si>
    <t xml:space="preserve">D12. Falta de definición en la clasificación de los hallazgos. </t>
  </si>
  <si>
    <t>D1. No hay suficiente capacidad instalada para atender las necesidades de la Universidad. (recurso humano)</t>
  </si>
  <si>
    <t>D2. Fuga de capital por diferentes motivos (gestión del conocimiento)</t>
  </si>
  <si>
    <t>D3. Afectación en la planificación de las auditorías debido a la no identificación oportuna de cambios normativos internos y externos.</t>
  </si>
  <si>
    <t>D4. Debilidad de conocimiento respecto a los nuevos sistemas, modelos, normatividad adoptados por la Universidad de Cundinamarca.</t>
  </si>
  <si>
    <t>D5. Falta de entrega oportuna de información por parte de los procesos para el desarrollo oportuno de las actividades propias del proceso.</t>
  </si>
  <si>
    <t>D6. Pérdida de información digital clave del proceso.</t>
  </si>
  <si>
    <t>D7. Falta de cobertura  de funcionarios  del proceso en seccionales  y extensiones.</t>
  </si>
  <si>
    <t xml:space="preserve">D8. Entrega de Información sin los parámetros establecidos de Confiabilidad, Veracidad, Calidad .( Firmas, Fechas, versiones actualizadas o cantidad de documentos entregables.) </t>
  </si>
  <si>
    <t>D9. Posibles errores en la prestación del servicio debido a la curva de aprendizaje actual</t>
  </si>
  <si>
    <t>D10. El modelo de contratación no permite fortalecer las competencias específicas en temas de control interno y/o auditoría de los profesionales de la oficina.</t>
  </si>
  <si>
    <t xml:space="preserve">D11. Indebida clasificación de los hallazgos. </t>
  </si>
  <si>
    <t>D12. No cumplir con la agenda de auditoría debido a diversos factores</t>
  </si>
  <si>
    <t xml:space="preserve">D13. Afectación en la entrega de resultados por no lograr cerrar los planes de mejoramiento externos por baja ejecución de las actividades que son responsabilidad de los lideres de procesos y sus equipos de trabajo. </t>
  </si>
  <si>
    <t>D14. Falta de utilización del mecanismo de controversias establecido en el procedimiento de auditoría Interna para el caso de las auditorías tercerizadas a los sistemas de gestión.</t>
  </si>
  <si>
    <t>D15. Falta de lineamientos para le manejo digital del acervo documental en ambiente de auditoría.</t>
  </si>
  <si>
    <t>PROCESO GESTIÓN DE PROYECTOS ESPECIALES Y RELACIONES INTERINSTITUCIONALES</t>
  </si>
  <si>
    <t>D1. Rotación constante de personal de término fijo y OPS.</t>
  </si>
  <si>
    <t>D2. Falta de articulación e interacción con los demás Procesos de la Universidad.</t>
  </si>
  <si>
    <t>D4. Falta oportunidad en soporte técnico y mantenimiento de equipos.</t>
  </si>
  <si>
    <t>D5. El modelo y los tiempos de contratación de la Universidad es ineficiente.</t>
  </si>
  <si>
    <t>D6. Proyección sobredimensionada de la meta de presupuesto anual, sin contemplar la naturaleza de la Dirección de Proyectos Especiales y Relaciones Interinstitucionales.</t>
  </si>
  <si>
    <t>D3. Falta de capacitación en la implementación de nuevas herramientas tecnológicas y nuevas metodologías al personal de la Dirección.</t>
  </si>
  <si>
    <t xml:space="preserve">D7. Usualmente no se puede dar cabal cumplimiento al cronograma de mantenimiento de equipos, por dificultades en el desplazamiento del personal de sistemas; así mismo, cuando se presentan fallas en la prestación del servicio de Internet, al consultar al área de sistemas argumentan que tienen otras prioridades. </t>
  </si>
  <si>
    <t>D8. No se cuenta con la capacidad suficiente de personal para atender las necesidades del proceso.</t>
  </si>
  <si>
    <t>PROCESO GESTIÓN DOCUMENTAL</t>
  </si>
  <si>
    <t xml:space="preserve">D1. Recurso humano insuficiente para la operación del Proceso. </t>
  </si>
  <si>
    <t>D2. Equipo tecnológico insuficiente para la operación del proceso. (Seccionales)</t>
  </si>
  <si>
    <t>D3. Falta la adquisición de un software de Administración Documental en la Universidad.</t>
  </si>
  <si>
    <t>D4. Falta de oportunidad en el servicio de transporte para transferencias documentales.</t>
  </si>
  <si>
    <t>D5. Incumplimiento a la resolución 161 de Agosto de 2016,  la cual da la directriz para la radicación de documentos.</t>
  </si>
  <si>
    <t>D6. Limitación en la promoción del personal dentro del Proceso.</t>
  </si>
  <si>
    <t xml:space="preserve">D7. Hackers Informáticos internos </t>
  </si>
  <si>
    <t>D8. Vulnerabilidad de la información digital.</t>
  </si>
  <si>
    <t>D10. Se generan reprocesos en las actividades articuladas con otros procesos</t>
  </si>
  <si>
    <t>D11. No se cuenta con actividades programadas de sensibilización y preparación para atender a la comunidad que presenta condiciones especiales</t>
  </si>
  <si>
    <t>D12. No contar con el edificio para el archivo central de conformidad con la normatividad (Acuerdo 042 de 2002 y 037 de 2002)</t>
  </si>
  <si>
    <t>D13. Capacitación insuficiente en temas a fines del proceso</t>
  </si>
  <si>
    <t>D14. No garantizar la custodia del archivo acorde con los tiempos establecidos en las tablas de retención documental</t>
  </si>
  <si>
    <t>D15. Falta de control en los roles administrativos en la creación de nuevos usuarios en el aplicativo Hermesoft 3.2 "aplicativo de correspondencia" (Aplicativo de la Universidad de Pamplona)</t>
  </si>
  <si>
    <t>D16. No disponer del archivo físico para la oportuna respuesta de solicitudes</t>
  </si>
  <si>
    <t>D17. Eliminación de documentos físicos o digitales por parte de las diferentes áreas</t>
  </si>
  <si>
    <t>D1. Falta la adquisición de un software de Administración Documental en la Universidad.</t>
  </si>
  <si>
    <t>D2. Falta de oportunidad en el servicio de transporte para transferencias documentales.</t>
  </si>
  <si>
    <t>D3. Incumplimiento a la resolución 161 de Agosto de 2016,  la cual da la directriz para la radicación de documentos.</t>
  </si>
  <si>
    <t>D4. Limitación en la promoción del personal dentro del Proceso.</t>
  </si>
  <si>
    <t xml:space="preserve">D5. Hackers Informáticos internos </t>
  </si>
  <si>
    <t>D6. Vulnerabilidad de la información digital.</t>
  </si>
  <si>
    <t>D7. Malas practicas archivísticas por las condiciones inseguras en el manejo del mismo a falta de elementos de protección</t>
  </si>
  <si>
    <t>D8. Se generan reprocesos en las actividades articuladas con otros procesos</t>
  </si>
  <si>
    <t>D9. No se cuenta con actividades programadas de sensibilización y preparación para atender a la comunidad que presenta condiciones especiales</t>
  </si>
  <si>
    <t>D10. No contar con el edificio para el archivo central de conformidad con la normatividad (Acuerdo 042 de 2002 y 037 de 2002)</t>
  </si>
  <si>
    <t>D11. Capacitación insuficiente en temas a fines del proceso</t>
  </si>
  <si>
    <t>D12. No garantizar la custodia del archivo acorde con los tiempos establecidos en las tablas de retención documental</t>
  </si>
  <si>
    <t>D13. Falta de control en los roles administrativos en la creación de nuevos usuarios en el aplicativo Hermesoft 3.2 "aplicativo de correspondencia" (Aplicativo de la Universidad de Pamplona)</t>
  </si>
  <si>
    <t>D14. No disponer del archivo físico para la oportuna respuesta de solicitudes</t>
  </si>
  <si>
    <t>D15. Eliminación de documentos físicos o digitales por parte de las diferentes áreas</t>
  </si>
  <si>
    <t>D16. No garantizar el cumplimiento del acuerdo 038 de 2002 - artículo 2 del archivo general de la nación.</t>
  </si>
  <si>
    <t>PROCESO GESTIÓN FINANCIERA</t>
  </si>
  <si>
    <t>D1 Espacios físicos insuficientes para el desarrollo de las actividades rutinarias del proceso</t>
  </si>
  <si>
    <t>D2. Identificación y aplicación de la normatividad legal vigente desde su publicación.</t>
  </si>
  <si>
    <t>D3. Incumplimiento en pagos, por no ejercer la operación, debido a  bloqueos producto de paros o asonadas  en la Universidad de Cundinamarca.</t>
  </si>
  <si>
    <t>D4. Desconocimiento de la información por falta de socialización de los procesos responsables del cambio de la normatividad interna.</t>
  </si>
  <si>
    <t>D5.  Falta implementar mecanismos que mejoren la conectividad en las contingencias que se puedan llegar a presentar por eventos inesperados, los cuales puedan afectar la prestación normal del servicio, en modalidad presencial, teletrabajo o trabajo desde casa. (Equipos, Internet, software, hardware)</t>
  </si>
  <si>
    <t xml:space="preserve">D6. No se cuenta con software en línea  que permita la comunicación de todos los procesos internos y externos </t>
  </si>
  <si>
    <t xml:space="preserve">D8. No se cuenta con la practica de uso de las firmas digitales que ayuden a gestionar de forma  ágil los tramites. </t>
  </si>
  <si>
    <t>D9. No se cuenta con el personal suficiente para la ejecución normal de las actividades de la oficina de contabilidad.</t>
  </si>
  <si>
    <t>D10. Incumplimiento de los supervisores en las directrices establecidas en el manual de contratación, lo cual  afecta los resultados  del proceso financiero, debido a los reprocesos que se deben realizar..</t>
  </si>
  <si>
    <t>D11. Realizar duplicidad de pagos o demora  en los pagos por falta de controles oportunos que permitan identificar la trazabilidad de radicación por correo electrónico.</t>
  </si>
  <si>
    <t>D12. Se radican cuentas de carácter urgente después de la 6pm lo cual impide dar respuesta oportuna a las solicitudes.</t>
  </si>
  <si>
    <t>D13. Información radicada virtualmente sin los parámetros establecidos legales y de calidad           ( documentos originales sin firmas; pagos de seguridad social falsificados, soportes incompletos)</t>
  </si>
  <si>
    <t>D16. No se realizo planificación para priorizar las actividades laborales para el trabajo desde casa, lo cual genero (sobre carga laboral y estrés en los funcionarios).</t>
  </si>
  <si>
    <t>BIENESTAR LABORAL</t>
  </si>
  <si>
    <t>D2. Desconocimiento de la información por falta de socialización de los procesos responsables en cuanto al cambio o actualizaciones de la normatividad interna y externa.</t>
  </si>
  <si>
    <t>D3. No se cuenta con herramientas digitales en línea para realizar seguimiento a los tramites radicados por las Partes interesadas.</t>
  </si>
  <si>
    <t xml:space="preserve">D4. No se cuenta con la practica de uso de las firmas digitales que ayuden a gestionar de forma  ágil los tramites. </t>
  </si>
  <si>
    <t>D5. No se cuenta con el personal suficiente para la ejecución normal de las actividades de la oficina de contabilidad.</t>
  </si>
  <si>
    <t>D6. Incumplimiento de los supervisores en las directrices establecidas en el manual de contratación, lo cual  afecta los resultados  del proceso financiero, debido a los reprocesos que se deben realizar..</t>
  </si>
  <si>
    <t>D7. Realizar duplicidad de pagos (consejo superior, monitorias, servicios públicos, liquidaciones, nomina, salidas académicas, viáticos, entre otros) o demora  en los pagos por falta de controles oportunos que permitan identificar la trazabilidad de radicación por correo electrónico e Integradoc.</t>
  </si>
  <si>
    <t>D8. Alta carga operativa en el proceso cuando se radican cuentas de carácter urgente después de la 6pm.</t>
  </si>
  <si>
    <t xml:space="preserve">D9. Información radicada virtualmente sin los parámetros establecidos legales y de calidad (documentos originales sin firmas; pagos de seguridad social falsificados, soportes incompletos), lo cual genera reprocesos en el momento de la revisión de la cuenta para pago. </t>
  </si>
  <si>
    <t xml:space="preserve">D10. Falta de actualización de la información documentada del proceso y la continuidad en la aplicación de los nuevos controles y prácticas establecidas. </t>
  </si>
  <si>
    <t>D11. No se asegura el análisis y evaluación de los resultados generados por el seguimiento y medición de los indicadores establecidos para el proceso que asegure el cumplimiento de metas</t>
  </si>
  <si>
    <t>D12. Reprocesos en el área financiera por falta de interpretación y desconocimiento de los procesos referente a los códigos presupuestales de la universidad para la planificación del presupuesto y compra (objeto del gasto a adquirir por el área solicitante).</t>
  </si>
  <si>
    <t xml:space="preserve">D13. Dificultad en la recuperación de la cartera de estudiantes a los cuales  se les aplico el beneficio de gratuidad de matricula y que fueron no beneficiados por el ministerio de educación nacional a partir del IIPA 2021 </t>
  </si>
  <si>
    <t xml:space="preserve">PROCESO GESTIÓN FORMACIÓN Y APRENDIZAJE </t>
  </si>
  <si>
    <t>D1. Insuficiente recurso financiero para la vinculación de talento humano para la gestión de los procesos</t>
  </si>
  <si>
    <t>D2. Insuficiente seguimiento al proceso de evaluación de desempeño docente</t>
  </si>
  <si>
    <t>D3. Reducir índices de repitencia y de graduación tardía</t>
  </si>
  <si>
    <t>D4. El número de profesores de planta incide en los procesos de registro calificado y acreditación de alta calidad</t>
  </si>
  <si>
    <t>D5. Falta de articulación entre los programas de pregrado y postgrado en procesos académicos</t>
  </si>
  <si>
    <t>D6. Insuficiente apoyo institucional para los planes de mejoramiento derivados de los ejercicios de autoevaluación</t>
  </si>
  <si>
    <t>D7. Currículos y planes de estudio que requieren actualización.</t>
  </si>
  <si>
    <t>D8. Procesos investigativos desarticulados con las líneas de investigación institucional (Postgrados)</t>
  </si>
  <si>
    <t>D9. Bajos ingresos por  concepto de matriculas en los programas de especialización y maestrías (Descuentos aplicados, decrecimiento en el número de estudiantes y número mínimo de estudiantes para cumplir el punto de equilibrio)</t>
  </si>
  <si>
    <t>D10. Baja protección, disponibilidad, custodia e integridad de la información física y digital en las áreas que conforman el proceso de Formación y Aprendizaje</t>
  </si>
  <si>
    <t>D11. La opción de grado de semestre avanzado en postgrados sin continuidad ni culminación del programa.</t>
  </si>
  <si>
    <t>D12. Falta de una política institucional para ofrecer descuentos en convenios suscritos (postgrados)</t>
  </si>
  <si>
    <t>D13. No se cuenta con un portafolio de opciones de pago y de financiamiento para los programas de postgrados</t>
  </si>
  <si>
    <t>D14. No hay publicidad sobre los programas de postgrados</t>
  </si>
  <si>
    <t>D15. Entrega de información incompleta para la creación de cursos virtuales</t>
  </si>
  <si>
    <t>D16. Falta de estrategias para el almacenamiento de los contenidos desarrollados en los cursos y aulas virtuales</t>
  </si>
  <si>
    <t>D17. Retrasos en la entrega de los cursos o aulas virtuales a los programas académicos</t>
  </si>
  <si>
    <t>D18. Equipos inadecuados para la operación de las diferentes dependencias del proceso de Formación y Aprendizaje</t>
  </si>
  <si>
    <t>D19. No se cuenta con una definición de directrices sobre los procesos de contratación con entidades extranjeras</t>
  </si>
  <si>
    <t>D20. Falta de socialización sobre las estrategias de inclusión en la producción de contenido y la atención que se brinda a las partes interesadas del proceso de Formación y Aprendizaje</t>
  </si>
  <si>
    <t>D21. Sistematización oportuna de la información en las  horas aprobadas del componente CTI para los docentes</t>
  </si>
  <si>
    <t>D22. Deficiencias en los procesos de evaluación a docentes a causa de los tiempos de vinculación en la plataforma por el tipo de contratación (Postgrados)</t>
  </si>
  <si>
    <t>D23. Insuficiencia de parámetros para la articulación de información de estudiantes y docentes en los sistemas de información de la institución.</t>
  </si>
  <si>
    <t>D24. Falta de un proceso de retroalimentación en relación con cursos virtuales de la institución</t>
  </si>
  <si>
    <t>D25. Falta de un proceso de retroalimentación a nivel técnico en relación con la plataforma en gestión de aprendizaje</t>
  </si>
  <si>
    <t>D26. Insuficiencia en la implementación de estrategias de mercadeo como campañas de promoción y divulgación</t>
  </si>
  <si>
    <t>D27. Falta de articulación de los procedimientos, instructivos y formatos con la normatividad interna vigente</t>
  </si>
  <si>
    <t>D28. No utilización de los recursos virtuales designados a los docentes</t>
  </si>
  <si>
    <t>D29. No utilización de los recursos virtuales producidos para las facultades</t>
  </si>
  <si>
    <t>D30. Falta de recursos para la inversión en el mejoramiento de la infraestructura</t>
  </si>
  <si>
    <t>D31. Talento humano insuficiente que cubra las necesidades de funcionamiento</t>
  </si>
  <si>
    <t>D32. Ausencia de un director con un perfil gerencial que asuma las funciones administrativas y venta de servicios del CAD con dedicación exclusiva</t>
  </si>
  <si>
    <t>D33. Vulnerabilidad del CAD frente al tema de seguridad</t>
  </si>
  <si>
    <t>D34. La meta financiera no corresponde con la posibilidad real de venta de servicios</t>
  </si>
  <si>
    <t>D35. No hay directrices administrativas y financieras definidas para el CAD</t>
  </si>
  <si>
    <t>D36. Carencia de un diagnostico real de las instalaciones de acueducto, alcantarillado y energía</t>
  </si>
  <si>
    <t>D37. No contar con la disponibilidad permanente de los escenarios para la venta de servicios</t>
  </si>
  <si>
    <t>D38. Daños materiales en los escenarios</t>
  </si>
  <si>
    <t>D39. No contar con un representante de postgrados en los diferentes comités y cuerpo colegiados</t>
  </si>
  <si>
    <t>D8. Baja protección, disponibilidad, custodia e integridad de la información física y digital en las áreas que conforman el proceso de Formación y Aprendizaje</t>
  </si>
  <si>
    <t>D9. Insuficiencia de parámetros para la articulación de información de estudiantes y docentes en los sistemas de información de la institución.</t>
  </si>
  <si>
    <t>D10. Falta de articulación de los procedimientos, instructivos y formatos con la normatividad interna vigente</t>
  </si>
  <si>
    <t>D11. Sistematización inoportuna de la información en las horas aprobadas del componente CTI para los docentes.</t>
  </si>
  <si>
    <t>D12. Insuficiente seguimiento para el aseguramiento de los resultados de aprendizaje</t>
  </si>
  <si>
    <t>D13. Bajos ingresos por  concepto de matriculas en los programas de especialización y maestrías (Descuentos aplicados, decrecimiento en el número de estudiantes y número mínimo de estudiantes para cumplir el punto de equilibrio)</t>
  </si>
  <si>
    <t xml:space="preserve">D14. El director del Instituto de Posgrados no puede ser elegido en Consejo Académico ni Consejo Superior 
</t>
  </si>
  <si>
    <t>D15. La opción de grado de titulo de especialización o semestre avanzado en postgrados sin continuidad ni culminación del programa.</t>
  </si>
  <si>
    <t>D16. Falta de una política institucional para ofrecer descuentos en matriculas de los programas de posgrados y propuestas de educación continuada mediante convenios</t>
  </si>
  <si>
    <t>D17. Los canales de pago virtuales para los programas de posgrado son limitados y carecen de agilidad en el proceso para el estudiante</t>
  </si>
  <si>
    <t>D18. Desconocimiento de la comunidad en general y la comunidad universitaria de los programas posgraduales.</t>
  </si>
  <si>
    <t>D19. Deficiencias en los procesos de evaluación a docentes a causa de los tiempos de vinculación en la plataforma por el tipo de contratación (Posgrados)</t>
  </si>
  <si>
    <t>D20. Las asignaciones salariales no son competitivas ni atractivas en el mercado laboral especializado (Posgrados)</t>
  </si>
  <si>
    <t>D21.Condiciones de contratación en el medio teniendo en cuenta la naturaleza del programa</t>
  </si>
  <si>
    <t>D22.Jornadas de capacitación institucional extensas y sin replicas lo cual dificulta la participación de los docentes</t>
  </si>
  <si>
    <t>D23. Entrega de información incompleta y fuera de los tiempos establecidos para la creación de cursos virtuales</t>
  </si>
  <si>
    <t>D24. Falta de estrategias para el almacenamiento de los contenidos desarrollados en los cursos y aulas virtuales</t>
  </si>
  <si>
    <t>D25. Retrasos en la entrega de los cursos, aulas virtuales, CAI o CADIS a los programas académicos</t>
  </si>
  <si>
    <t>D26. Equipos inadecuados para la operación de las diferentes dependencias del proceso de Formación y Aprendizaje</t>
  </si>
  <si>
    <t>D27. Falta de socialización sobre las estrategias de inclusión en la producción de contenido y la atención que se brinda a las partes interesadas del proceso de Formación y Aprendizaje</t>
  </si>
  <si>
    <t>D28. Falta de un proceso de retroalimentación a nivel técnico en relación con la plataforma en gestión de aprendizaje</t>
  </si>
  <si>
    <t>D29. No utilización de los recursos virtuales designados a los profesores</t>
  </si>
  <si>
    <t>D30. No utilización de los recursos virtuales producidos para las facultades</t>
  </si>
  <si>
    <t>D31. Insuficiencia en la implementación de estrategias de mercadeo como campañas de promoción y divulgación</t>
  </si>
  <si>
    <t>D32. Falta de apropiación del Modelo Educativo Digital Transmoderno - MEDIT por parte de los profesores y del equipo de trabajo de la Oficina de Educación Virtual y a Distancia</t>
  </si>
  <si>
    <t>D33. Reprocesos por la rotación de personal en perfiles específicos (Oficina de Educación Virtual y a Distancia)</t>
  </si>
  <si>
    <t>D34. Falta de recursos para la inversión en el mejoramiento de la infraestructura</t>
  </si>
  <si>
    <t>D35. Talento humano insuficiente que cubra las necesidades de funcionamiento</t>
  </si>
  <si>
    <t>D36. Ausencia de un director con un perfil gerencial que asuma las funciones administrativas y venta de servicios del CAD con dedicación exclusiva</t>
  </si>
  <si>
    <t>D37. Vulnerabilidad del CAD frente al tema de seguridad</t>
  </si>
  <si>
    <t>D38. La meta financiera no corresponde con la posibilidad real de venta de servicios</t>
  </si>
  <si>
    <t>D39. No hay directrices administrativas y financieras definidas para el CAD</t>
  </si>
  <si>
    <t>D40. Carencia de un diagnostico real de las instalaciones de acueducto, alcantarillado y energía</t>
  </si>
  <si>
    <t>D41. Daños materiales en los escenarios</t>
  </si>
  <si>
    <t>PROCESO GESTIÓN INTERACCIÓN UNIVERSITARIA</t>
  </si>
  <si>
    <t>D1. Funciones asignadas mas no documentadas.</t>
  </si>
  <si>
    <t xml:space="preserve">D2. Falta fortalecer aspectos relacionados al cumplimiento de las políticas misionales </t>
  </si>
  <si>
    <t>D3. Dificultad en la comunicación y visibilidad con seccionales y extensiones.</t>
  </si>
  <si>
    <t>D4. Falta de articulación con todos los Procesos que pueda llevar al no cumplimiento oportuno de las actividades</t>
  </si>
  <si>
    <t>D5.  El proceso aún no está sistematizado.</t>
  </si>
  <si>
    <t>D6. Falta de actualización del portafolio de cursos y diplomados</t>
  </si>
  <si>
    <t>D5. Falta de sistematización de los procedimientos y trámites de la Dirección de ISU</t>
  </si>
  <si>
    <t>D6. Falta asegurar el análisis y evaluación de los resultados generados por el seguimiento y medición de los indicadores establecidos para el proceso</t>
  </si>
  <si>
    <t>D7. Desactualización de los equipos tecnológicos y software de los mismos lo cual dificulta la eficaz ejecución de los procesos</t>
  </si>
  <si>
    <t>D8. No apropiación de la documentación actualizada desde los procesos establecidos en el Sistemas de Gestión de la Calidad</t>
  </si>
  <si>
    <t>PROCESO GESTIÓN JURÍDICA</t>
  </si>
  <si>
    <t>D1. Alta Rotación de Personal.</t>
  </si>
  <si>
    <t>D2. Falta de articulación con todos los Procesos.</t>
  </si>
  <si>
    <t xml:space="preserve">D3. Falta de asignación de actividades. </t>
  </si>
  <si>
    <t>D4. Se presentan reprocesos por el no acatamiento de los tiempos de operación por otras partes interesadas que solicitan apoyo a la dirección Jurídica.</t>
  </si>
  <si>
    <t>D5. El no cumplimiento de los procesos o que estos no brinden soluciones agiles.</t>
  </si>
  <si>
    <t>D6. El proceso no cuenta con estrategias que garanticen el fortalecimiento de las relaciones humanas  de cara con el ambiente laboral</t>
  </si>
  <si>
    <t>D7. Escases de sistemas de información, pues no están cubiertos los procesos judiciales y extrajudiciales.</t>
  </si>
  <si>
    <t>D8. Falta un adecuado control de la información en el proceso</t>
  </si>
  <si>
    <t xml:space="preserve">D9. Falta asegurar la gestión del conocimiento en el proceso. </t>
  </si>
  <si>
    <t>D10. No hay un plan de capacitación para los contratistas en temas generales, específicos de cargo y en tema de inclusión.</t>
  </si>
  <si>
    <t>D3. Se presentan reprocesos por el no acatamiento de los tiempos de operación por otras partes interesadas que solicitan apoyo a la dirección Jurídica.</t>
  </si>
  <si>
    <t>D4. El no cumplimiento de los lineamientos jurídicos y legales internos y externos o que estos no brinden soluciones agiles.</t>
  </si>
  <si>
    <t>D5. Escases de sistemas de información, pues no están cubiertos los procesos judiciales y extrajudiciales.</t>
  </si>
  <si>
    <t>D6. Falta un adecuado control de la información que no esta sistematizada en el proceso</t>
  </si>
  <si>
    <t xml:space="preserve">D7. Falta asegurar la gestión del conocimiento en el proceso. </t>
  </si>
  <si>
    <t>D8. Alta carga operativa al interior del proceso, específicamente en requerimientos que no son competencia de jurídica</t>
  </si>
  <si>
    <t>D9. Desconocimiento de los procesos en el uso de integradoc de los trámites que actualmente maneja la Dirección Jurídica</t>
  </si>
  <si>
    <t>PROCESO GESTIÓN PLANEACIÓN INSTITUCIONAL</t>
  </si>
  <si>
    <t>D5. Falta de actualización de la documentación del proceso con el fin de abordar los lineamientos de la Política de Inclusión</t>
  </si>
  <si>
    <t>D3. No hay suficiente capacidad instalada para atender las necesidades de la Universidad</t>
  </si>
  <si>
    <t>D2. Falta de Articulación con la Planeación Académica y políticas misionales que se desarrollan en la Institución</t>
  </si>
  <si>
    <t>D4. Retrasos en la Información solicitada a los procesos.</t>
  </si>
  <si>
    <t>D1. Dificultades para la obtención de información veraz, actualizada y confiable</t>
  </si>
  <si>
    <t>D6. Las modalidades de Contratación con las que cuenta el proceso, impiden que se realicen procesos de capacitación e inducción a los funcionarios para el desarrollo sus competencias laborales.</t>
  </si>
  <si>
    <t>D6. No contar con la información necesaria como elemento de entrada para la Revisión por la Dirección</t>
  </si>
  <si>
    <t>D7. Falta de herramientas que permitan asegurar la confiabilidad de los datos</t>
  </si>
  <si>
    <t>D8. Falta de cumplimiento en algunos Lineamientos de acreditación de programas e institucional.</t>
  </si>
  <si>
    <t>D9. Estructura y lineamientos de los Sistemas de Gestión no se encuentran articulados.</t>
  </si>
  <si>
    <t>D6. Falta de herramientas que permitan asegurar la confiabilidad de los datos</t>
  </si>
  <si>
    <t>D7. Falta de cumplimiento en algunos Lineamientos de acreditación de programas e institucional.</t>
  </si>
  <si>
    <t>D8. Estructura y lineamientos de los Sistemas de Gestión no se encuentran articulados.</t>
  </si>
  <si>
    <t>PROCESO GESTIÓN SERVICIO DE ATENCIÓN AL CIUDADANO</t>
  </si>
  <si>
    <t>D5. El modelo y los tiempos de contratación de la universidad son demorados</t>
  </si>
  <si>
    <t>D3. Instalaciones Locativas insuficientes en seccionales y extensiones</t>
  </si>
  <si>
    <t>D2. Se presenta alta rotación de los funcionarios en la institución</t>
  </si>
  <si>
    <t>D4. Falta de claridad en las respuestas dadas por los procesos competentes</t>
  </si>
  <si>
    <t>D1. Demora en los tiempos de respuesta por parte de las dependencias</t>
  </si>
  <si>
    <t>D3. Versiones iniciales de la documentación del SGC en papel</t>
  </si>
  <si>
    <t>D6. Dependencia de los usuarios al clasificar la solicitud.</t>
  </si>
  <si>
    <t>D7. Dependencia de otros procesos para tomar acciones frente a las PQRS impuestas a la Universidad de Cundinamarca</t>
  </si>
  <si>
    <t>D8. Falta de toma de conciencia y conocimiento en la responsabilidad cuando se da respuesta a las PQRS</t>
  </si>
  <si>
    <t>D9.Falta de adaptabilidad del aplicativo de PQRSFYD para la población con discapacidad.</t>
  </si>
  <si>
    <t>D10. Personal insuficiente para el desarrollo de las actividades del proceso.</t>
  </si>
  <si>
    <t xml:space="preserve">D11. El sistema no permite reclasificar las peticiones </t>
  </si>
  <si>
    <t>D3. Instalaciones locativas con falta de accesibilidad a las partes interesadas en seccionales y extensiones</t>
  </si>
  <si>
    <t>D5. El modelo y los tiempos de gestión de la universidad son demorados</t>
  </si>
  <si>
    <t>D8. Falta de toma de conciencia y conocimiento en la responsabilidad cuando se da respuesta a las PQRS por parte de los jefes de oficina y/o coordinadores</t>
  </si>
  <si>
    <t xml:space="preserve">D11. El sistema SAIC no permite reclasificar el tipo de solicitud </t>
  </si>
  <si>
    <t>D12. Falta de trazabilidad frente a las respuestas y/o soportes dados por los funcionarios responsables a las solicitudes de los peticionarios desde su inicio hasta su cierre.</t>
  </si>
  <si>
    <t xml:space="preserve">PROCESO GESTIÓN SISTEMAS INTEGRADOS </t>
  </si>
  <si>
    <t>D7. Rotación de facilitadores de temas de calidad en los procesos.</t>
  </si>
  <si>
    <t>D8. Falta de articulación en las fuentes de información para la medición de los procesos.</t>
  </si>
  <si>
    <t>D9. Falta de articulación en las herramientas administrativas de seguimiento y gestión en el proceso</t>
  </si>
  <si>
    <t>D10. Falta fortalecer el enfoque por procesos en la Institución</t>
  </si>
  <si>
    <t>D11. Falta toma de conciencia en la aplicación de los criterios documentales para la elaboración y actualización por parte de los Procesos</t>
  </si>
  <si>
    <t>D12. Dificultad en la comunicación por la modalidad de trabajo en casa</t>
  </si>
  <si>
    <t>D1. No contar con suficientes herramientas tecnológicas que permitan dar respuesta a necesidades dentro del proceso (aplicativos)</t>
  </si>
  <si>
    <t>D3. Versiones iniciales de la documentación del SGC en papel.</t>
  </si>
  <si>
    <t>D4. Contratos de trabajo interrumpido.</t>
  </si>
  <si>
    <t>D5. Parte de la administración de los aplicativos del SGC está a cargo de otros procesos</t>
  </si>
  <si>
    <t>D6. Falta de disponibilidad de tiempo de los procesos para los temas de calidad</t>
  </si>
  <si>
    <t>D9. Falta de articulación en las herramientas administrativas de seguimiento y gestión en los procesos</t>
  </si>
  <si>
    <t>D12. Dificultad en la comunicación por la modalidad de trabajo en casa y/o alternancia</t>
  </si>
  <si>
    <t>PROCESO GESTIÓN SISTEMAS Y TECNOLOGÍA</t>
  </si>
  <si>
    <t>D1. No contar con los recursos económicos suficientes para la  ejecución de los proyectos tecnológicos que permitan la ejecución de actividades de la Dirección de Sistemas y Tecnología.</t>
  </si>
  <si>
    <t>D2.Falta de directrices estratégicas que permitan establecer la planeación para el desarrollo de la Política de Gobierno Digital, establecida por el Ministerio de Información y Comunicación - MinTic</t>
  </si>
  <si>
    <t>D3. Capacitación insuficiente para el Personal del área de Sistemas y Tecnología.</t>
  </si>
  <si>
    <t>D4. Falta de continuidad en la contratación del personal de la Dirección de Sistemas y Tecnología, lo que ocasiona un retraso  en el  normal desarrollo de las actividades programadas</t>
  </si>
  <si>
    <t xml:space="preserve">D5. Desconocimiento por parte de terceros de las directrices trazadas por la Dirección de Sistemas y Tecnología para el desarrollo e implementación de nuevo software </t>
  </si>
  <si>
    <t>D6. Requerimientos de desarrollo de software, con necesidades no documentadas ni establecidas en un procedimiento de calidad.</t>
  </si>
  <si>
    <t>D7. No asistencia de los funcionarios de la Universidad de Cundinamarca  a las socializaciones  suministradas por la Dirección de Sistemas y Tecnología</t>
  </si>
  <si>
    <t>D8. Falta de un plan de reposición de equipos de cómputo que cumplen su vida útil.</t>
  </si>
  <si>
    <t>D9. No es suficiente la asignación del rubro presupuestal para la ejecución de las actividades.</t>
  </si>
  <si>
    <t>D10. Falta de Documentación adecuada y actualizada en procesos críticos gestionados por personal de Contrato a termino Fijo.</t>
  </si>
  <si>
    <t>D11. Deficiencias en el monitoreo de Servicios Tecnológicos utilizados a los usuarios Académicos y administrativos.</t>
  </si>
  <si>
    <t>D12. Falta de masificación en el uso de herramientas para la gestión administrativa y académica.</t>
  </si>
  <si>
    <t>D13. No se cuenta con recursos redundantes que permitan una continuidad o un plan de Contingencia optimo en los servicios Tecnológicos Ofrecidos a las partes Interesadas.</t>
  </si>
  <si>
    <t>D15. El método de contratación y compra es extenso y dispendioso, afectando la ejecución oportuna de los procesos.</t>
  </si>
  <si>
    <t>D16. Falta de planeación a los cambios a corto y mediano plazo que requiera el proceso.</t>
  </si>
  <si>
    <t>D5. Desconocimiento por parte de terceros de las directrices trazadas por la Dirección de Sistemas y Tecnología para la prestación de servicios tecnológicos.</t>
  </si>
  <si>
    <t>D7. Falta de un plan de reposición de equipos de cómputo que cumplen su vida útil.</t>
  </si>
  <si>
    <t>D8. No es suficiente la asignación del rubro presupuestal para la ejecución de las actividades.</t>
  </si>
  <si>
    <t>D9. Falta de Documentación adecuada y actualizada en procesos críticos gestionados por personal de Contrato a termino Fijo.</t>
  </si>
  <si>
    <t>D10. Deficiencias en el monitoreo de Servicios Tecnológicos utilizados a los usuarios Académicos y administrativos.</t>
  </si>
  <si>
    <t>D11. Falta de masificación en el uso de herramientas para la gestión administrativa y académica.</t>
  </si>
  <si>
    <t>D12. No se cuenta con recursos redundantes que permitan una continuidad o un plan de Contingencia optimo en los servicios Tecnológicos Ofrecidos a las partes Interesadas.</t>
  </si>
  <si>
    <t>D13. Seccionales y extensiones que carecen de una adecuada infraestructura tecnológica planta física y acceso integral a los servicios tecnológicos como internet.</t>
  </si>
  <si>
    <t>D14. El método de contratación y compra es extenso y dispendioso, afectando la ejecución oportuna de los procesos.</t>
  </si>
  <si>
    <t>D15. Falta de planeación a los cambios a corto y mediano plazo que requiera el proceso.</t>
  </si>
  <si>
    <t>PROCESO GESTIÓN TALENTO HUMANO</t>
  </si>
  <si>
    <t>D3. Equipo de trabajo insuficiente para el volumen de trabajo.</t>
  </si>
  <si>
    <t>D1. Oficina muy pequeña para el volumen de funcionarios. De la Dirección de Talento Humano.</t>
  </si>
  <si>
    <t>D4. Ubicación del archivo de hojas de vida del personal de termino fijo muy retirado de la oficina de Talento Humano. Baja seguridad del archivo de hojas de vida, tanto de personal de termino fijo como de docentes.</t>
  </si>
  <si>
    <t>D2. Falta de sistematización en las diferentes actividades, que tardan el curso normal de los procesos. (Acuerdos de gestión, retenciones, impuestos, e indicadores).</t>
  </si>
  <si>
    <t>D5. Falta de verificación de la veracidad de los documentos soportes de contratación.</t>
  </si>
  <si>
    <t>TRANSPARENCIA</t>
  </si>
  <si>
    <t>D6. Falta de restricción del personal ajeno a la oficina de Talento Humano y Dependencia significativa de otros procesos, que tardan la continuidad de las actividades de los diferentes procedimientos.</t>
  </si>
  <si>
    <t>D7. Falta compromiso del personal en la asistencia de los diferentes eventos programados por el proceso de Talento Humano.</t>
  </si>
  <si>
    <t>D8. No cumplimiento de los parámetros indicados para la evaluación docente.</t>
  </si>
  <si>
    <t>D9. Equipos de hardware y red inalámbrica no aptos para el desarrollo de las actividades del proceso.</t>
  </si>
  <si>
    <t>D10. Incumplimiento de la normatividad legal vigente, relacionada con la afiliación del personal nuevo al sistema de seguridad social.</t>
  </si>
  <si>
    <t>D11. Falta de compromiso de los funcionarios contratados con la actualización de su historia laboral</t>
  </si>
  <si>
    <t>D12. No se evidencia como aportan los indicadores al frente estratégico al cual esta articulado el proceso.</t>
  </si>
  <si>
    <t xml:space="preserve">D13. No se garantiza la idoneidad en cuanto a educación, formación y experiencia, frente al requisitos de los cargos </t>
  </si>
  <si>
    <t>D14. Falta evaluar la eficacia de las capacitaciones.</t>
  </si>
  <si>
    <t xml:space="preserve">D15. No se evidencia la eficiencia en el recaudo del pago de las incapacidades </t>
  </si>
  <si>
    <t>D16. No se cumplen las fechas establecidas en procedimientos para recepción de novedades de nómina.</t>
  </si>
  <si>
    <t>D17. Incurrir en multas y/o sanciones derivados por incumplimientos a la normatividad legal vigente causadas por paros, los cuales evitan el funcionamiento normal de la oficina.</t>
  </si>
  <si>
    <t>D18. Falta de continuidad en el contrato laboral; genera incertidumbre en los contratistas.</t>
  </si>
  <si>
    <t>D19. No se cuenta con política o mecanismo para gestionar y conservación el conocimiento de los funcionarios que se retiran de la UDEC.</t>
  </si>
  <si>
    <t>D20.Modalidad de contratación afecta la prestación del servicio y la continuidad de proyectos de investigación.</t>
  </si>
  <si>
    <t>D21. No evidencian las  acciones de planificación para el logro de los objetivos.</t>
  </si>
  <si>
    <t>D23.No realizar identificación de las acciones  adecuadas para  determinar la  causa raíz  de los hallazgos en los planes de mejora.</t>
  </si>
  <si>
    <t>D24. No se tiene evidencia de la rendición de cuenta de los funcionarios de acuerdo con los roles y responsabilidades asignados para SST -</t>
  </si>
  <si>
    <t xml:space="preserve">D25. No se cuenta con el reglamento de trabajo interno formalizado y publicado </t>
  </si>
  <si>
    <t>PROCESO GESTIÓN SISTEMA DE LA SEGURIDAD Y SALUD EN EL TRABAJO</t>
  </si>
  <si>
    <t>D1. Falta de sistematización en las diferentes actividades, que tardan el curso normal de los procesos. (inspecciones sg-sst e indicadores).</t>
  </si>
  <si>
    <t>D2. Equipo de trabajo insuficiente para el volumen de trabajo.</t>
  </si>
  <si>
    <t>D3. Falta de cobertura del SG-SST a todas la Sede, Seccionales, Extensiones, Granjas y Oficina de la Universidad.</t>
  </si>
  <si>
    <t>D4. Falta compromiso del personal en la asistencia de los diferentes eventos programados por SG-SST.</t>
  </si>
  <si>
    <t>D5. Incumplimiento de la normatividad legal vigente, relacionada con la afiliación del personal nuevo a la ARL.</t>
  </si>
  <si>
    <t>D6. No identificación oportuna de cambios en la legislación vigente.</t>
  </si>
  <si>
    <t>D7. No se evidencia como aportan los indicadores al frente estratégico al cual esta articulado el proceso.</t>
  </si>
  <si>
    <t>D8. Falta evaluar la eficacia de las capacitaciones.</t>
  </si>
  <si>
    <t>D9. Falta compromiso del personal frente a la realización y cumplimentó de las actividades relacionadas con Seguridad y Salud en el Trabajo (pausas activas, actividades de PyP).</t>
  </si>
  <si>
    <t>D10. No cumplimiento de la obligación de reporte de accidentes de trabajo en los tiempos establecidos.</t>
  </si>
  <si>
    <t xml:space="preserve">D11. Falta de recursos para el desplazamiento a los centros de trabajo. </t>
  </si>
  <si>
    <t>D12. Riesgo publico por desplazamientos.</t>
  </si>
  <si>
    <t xml:space="preserve">D13. Falta de continuidad en el contrato laboral; genera incertidumbre en los contratistas (traumatismo en los procesos) y deficiencia en la cobertura de personal responsable del SG-SST. </t>
  </si>
  <si>
    <t>D14. Dificultades en la conectividad virtual con todos los centros de trabajo para desarrollar el COPASST.</t>
  </si>
  <si>
    <t>D15. Debilidad en las estructura y debilidad en los lineamientos para la brigada de emergencias.</t>
  </si>
  <si>
    <t>D16.Afectación por la presencia   de manifestantes que generan disturbios al interior de la institución afectando la infraestructura y generan la activación del plan de emergencia.</t>
  </si>
  <si>
    <t xml:space="preserve">D21. Falta de lineamientos para la articulación de los elementos transversales de los sistemas de gestión. </t>
  </si>
  <si>
    <t>D9. No cumplimiento de la obligación de reporte de accidentes de trabajo en los tiempos establecidos.</t>
  </si>
  <si>
    <t>D10. Riesgo publico por desplazamientos.</t>
  </si>
  <si>
    <t xml:space="preserve">D11. Falta de continuidad en el contrato laboral; genera incertidumbre en los contratistas (traumatismo en los procesos) y deficiencia en la cobertura de personal responsable del SG-SST. </t>
  </si>
  <si>
    <t>D12. Dificultades en la conectividad virtual con todos los centros de trabajo para desarrollar el COPASST.</t>
  </si>
  <si>
    <t>D13. Debilidad en las estructura y debilidad en los lineamientos para la brigada de emergencias.</t>
  </si>
  <si>
    <t>D14.Afectación por la presencia   de manifestantes que generan disturbios al interior de la institución afectando la infraestructura y generan la activación del plan de emergencia.</t>
  </si>
  <si>
    <t>D15. No evidencian las  acciones de planificación para el logro de los objetivos.</t>
  </si>
  <si>
    <t xml:space="preserve">D16. No realizar análisis apropiado a los resultados de los indicadores. </t>
  </si>
  <si>
    <t>D17.No realizar identificación de las acciones  adecuadas para  determinar la  causa raíz  de los hallazgos en los planes de mejora.</t>
  </si>
  <si>
    <t xml:space="preserve">D18.No contar con un mecanismo que permitan activar la cadena de llamada de emergencias, con las autoridades municipales. </t>
  </si>
  <si>
    <t xml:space="preserve">D19. Falta de lineamientos para la articulación de los elementos transversales de los sistemas de gestión. </t>
  </si>
  <si>
    <t>D20. Falta de evaluación periódica de la matriz de identificación de peligros y riesgos nuevos y existentes de las unidades agroambiental que permitan la identificación de nuevos controles que mitiguen los rasgos  del personas que trabaja a campo abierto.</t>
  </si>
  <si>
    <t xml:space="preserve">D21.No se asegura la conservación de las registros  de  la inducción y reinducción del SG-SST. </t>
  </si>
  <si>
    <t>D22. No se cuenta con un control que asegure el cumplimiento de los requisitos de SST en la ejecución de las  ordenes contractuales de servicios de los proveedores y contratista.</t>
  </si>
  <si>
    <t>D23. Falta fortalecer la comunicación entre el proceso de la academia  y el  SG-SST  frente a la gestión de riesgos asociados a  formación y aprendizaje</t>
  </si>
  <si>
    <t xml:space="preserve">D24. Falta de la definición de los roles que permitan la independencia del SG-SST, con respecto manejo documental. </t>
  </si>
  <si>
    <t>PROCESO GESTIÓN GRADUADOS</t>
  </si>
  <si>
    <t>D10. No se cuenta con una articulación de la Universidad Cundinamarca  y los graduados para  continuar con los programas de investigación.</t>
  </si>
  <si>
    <t xml:space="preserve">D11. No considerar  a los graduados en condición de discapacidad en la planeación y realización de  los eventos. </t>
  </si>
  <si>
    <t xml:space="preserve">D12. No actualizar de manera oportuna los cambios a la  planificación de los eventos frente a situaciones de contingencia. </t>
  </si>
  <si>
    <t>D1. No se cuenta con una herramienta sistematizada que nos permita hacer el seguimiento a Graduados, en su vida laboral y académica.</t>
  </si>
  <si>
    <t>D6. Falta de comunicación con todos los programas académicos para la generación de talleres y conferencias.</t>
  </si>
  <si>
    <t xml:space="preserve">D8. Mecanismos deficientes para realizar la actualización y seguimiento de la información de los graduados oportunamente. </t>
  </si>
  <si>
    <t>FORTALEZA</t>
  </si>
  <si>
    <t xml:space="preserve">F1. Construcción y Disponibilidad de información estadística. </t>
  </si>
  <si>
    <t xml:space="preserve">F2. Promoción y divulgación de los programas en la Universidad de manera virtual. </t>
  </si>
  <si>
    <t>F3. Aplicativo informático Academusoft y los desarrollos informáticos que sistematiza la operatividad del proceso</t>
  </si>
  <si>
    <t>F4. Se cuenta con backups para la seguridad y trazabilidad de la información.</t>
  </si>
  <si>
    <t>F5. Se planifican las actividades del proceso mediante el calendario académico</t>
  </si>
  <si>
    <t>F6. Se cuenta con indicadores que miden la gestión del proceso -  Se toman acciones de mejora frente a los resultados de la medición de los indicadores del SGC</t>
  </si>
  <si>
    <t>F7. Mejoras a los sistemas de información para la operatividad del proceso</t>
  </si>
  <si>
    <t>F8. Estructuración de guías para la atención a población priorizada y de caracterización</t>
  </si>
  <si>
    <t>F9. Se comunica a las partes interesadas la actualización documental del proceso</t>
  </si>
  <si>
    <t>F10. Se aplica los procesos de selección a aspirantes catalogados como población priorizada, realizando acompañamiento pertinente para culminación del proceso.</t>
  </si>
  <si>
    <t>F1. Sistema de Gestión Bibliotecaria</t>
  </si>
  <si>
    <t>F7. Se delegan funciones y se propicia un buen clima de trabajo.</t>
  </si>
  <si>
    <t>F9. Se cuenta con canales claros de comunicación.</t>
  </si>
  <si>
    <t>F2. Sistemas de producción acordes con la preservación del medio ambiente, que permiten el desarrollo de la ciencia tecnología e innovación (Granja La Esperanza)</t>
  </si>
  <si>
    <t xml:space="preserve">PROCEDIMIENTOS </t>
  </si>
  <si>
    <t>F3. Actualización e innovación permanente de los servicios bibliotecarios</t>
  </si>
  <si>
    <t>F4. Servicios en línea orientados a dar respuestas oportunas a la necesidades de la comunidad académica  (Aplicativos que optimizan la operatividad del proceso y garantizan un eficiente servicio a las partes interesadas.)</t>
  </si>
  <si>
    <t xml:space="preserve">F5. Acciones encaminadas al cumplimiento de la política de inclusión: Tips de comunicación asertiva inclusiva en braille en seccionales y extensiones - encuesta de inclusión en página web institucional. </t>
  </si>
  <si>
    <t xml:space="preserve">F6. Calidad en la prestación del servicio hacia las partes interesadas. </t>
  </si>
  <si>
    <t>F7. Biblioteca nueva - sede Fusagasugá que acoge las necesidades de la comunidad universitaria y se alinea a la política de inclusión (movilidad)</t>
  </si>
  <si>
    <t>F8.  Implementación de estrategias como apoyo a los estudiantes (préstamo de equipos)</t>
  </si>
  <si>
    <t>F1:Competencia del personal que integra el proceso.</t>
  </si>
  <si>
    <t>F10. Digitalización en las actividades del proceso</t>
  </si>
  <si>
    <t>F11. Documentación publica, actual y veraz</t>
  </si>
  <si>
    <t>F12. Backups de la información</t>
  </si>
  <si>
    <t>F13. Respuesta oportuna y clara a procesos internos y externos</t>
  </si>
  <si>
    <t>F14. Planificación de las actividades a realizar durante el semestre acorde con las diferentes partes interesadas involucradas en los procesos de Autoevaluación y Acreditación</t>
  </si>
  <si>
    <t>F15. Actualización periódica normativa aplicable al proceso</t>
  </si>
  <si>
    <t>F16. Los indicadores reflejan el desempeño del proceso y aportan al cumplimiento del plan rectoral y el plan estratégico</t>
  </si>
  <si>
    <t>F17. Oferta de pasantías y monitorias para el apoyo de las actividades</t>
  </si>
  <si>
    <t>F18. Implementación de la Escuela de Formación y Aprendizaje Docente</t>
  </si>
  <si>
    <t>F19. Amplio conocimiento y apoyo en los procesos de resignificación curricular de los programas académicos</t>
  </si>
  <si>
    <t>F2: Documentos internos que soportan los procesos de registro calificado, condiciones iniciales de acreditación de programas y ejercicios de autoevaluación</t>
  </si>
  <si>
    <t>F20. Modulo de Aseguramiento de la Calidad Educativa</t>
  </si>
  <si>
    <t>F21. Se cuenta con un alto porcentaje de participación de la comunidad académica en los procesos de autoevaluación y las encuestas de percepción</t>
  </si>
  <si>
    <t>F22. El proceso cuenta con el personal requerido acorde con las necesidades y actividades que se desarrollan</t>
  </si>
  <si>
    <t>F23. Se fortalecen los procesos de capacitación y aprendizaje continuo en temas afines del proceso mediante las redes en las cuales tiene presencia la Universidad (Por ejemplo: FODESEP)</t>
  </si>
  <si>
    <t>F24. Apropiación del concepto transhumanidad mediante el MEDIT</t>
  </si>
  <si>
    <t>F25. La asignación del rubro presupuestal es apta para el desarrollo las actividades</t>
  </si>
  <si>
    <t>F26. Se asegura la gestión del conocimiento con todos los integrantes del proceso</t>
  </si>
  <si>
    <t>F27. Proceso de resignificación curricular y autoevaluación con la apropiación del concepto transmodernidad</t>
  </si>
  <si>
    <t>F28. Documentos que soporten la proyección de nueva oferta académica en la institución</t>
  </si>
  <si>
    <t>F29. Identificación e implementación de estrategias que permitan la acreditación en alta calidad y la acreditación institucional</t>
  </si>
  <si>
    <t>F3: Estrategias metodológicas para dar a conocer a la comunidad académica la normatividad, documentos, guías y formatos entre otros del  MEN y CNA.</t>
  </si>
  <si>
    <t>F4: Reconocimiento a nivel de plan estratégico y modelo de operación al proceso de autoevaluación y acreditación.</t>
  </si>
  <si>
    <t xml:space="preserve">F5: Ambiente de trabajo agradable y armónico. </t>
  </si>
  <si>
    <t>F6: Liderazgo funcional por parte del Gestor responsable.</t>
  </si>
  <si>
    <t>F7. Seguimiento estricto a los lineamientos del MEN y CNA</t>
  </si>
  <si>
    <t>F8. Cumplimiento y compromiso con las actividades del proceso</t>
  </si>
  <si>
    <t>F9. Adecuación de espacios y equipos para el desarrollo de actividades</t>
  </si>
  <si>
    <t>F4. Capacidad de adaptación en cuanto a infraestructura y espacios para el desarrollo de actividades</t>
  </si>
  <si>
    <t>F5. Incorporación y adaptación de herramientas tecnológicas para optimizar el proceso</t>
  </si>
  <si>
    <t>F6. Documentación publica, actual y veraz</t>
  </si>
  <si>
    <t>F7. Backups de la información</t>
  </si>
  <si>
    <t>F8. Planificación de las actividades a realizar durante el semestre acorde con las diferentes partes interesadas involucradas en los procesos de Autoevaluación y Acreditación</t>
  </si>
  <si>
    <t>F9. Apoyo de pasantías y monitorias para el desarrollo del proceso</t>
  </si>
  <si>
    <t>F10. Modulo de Aseguramiento de la Calidad Educativa</t>
  </si>
  <si>
    <t>F11. El proceso cuenta con el personal requerido acorde con las necesidades y actividades que se desarrollan</t>
  </si>
  <si>
    <t>F12. Se fortalecen los procesos de capacitación y aprendizaje continuo en temas afines del proceso mediante las redes en las cuales tiene presencia la Universidad (Por ejemplo: FODESEP)</t>
  </si>
  <si>
    <t>F13. La asignación del rubro presupuestal es apta para el desarrollo las actividades</t>
  </si>
  <si>
    <t>F14. Se asegura la gestión del conocimiento con todos los integrantes del proceso</t>
  </si>
  <si>
    <t>F15. Documentos que soporten la proyección de nueva oferta académica en la institución</t>
  </si>
  <si>
    <t>F16. Identificación e implementación de estrategias que permitan la acreditación en alta calidad y la acreditación institucional</t>
  </si>
  <si>
    <t xml:space="preserve">F17. Aplicativo Sistema de Aseguramiento de la Calidad de la Educación Superior - SACES institucional </t>
  </si>
  <si>
    <t>F1. Los lineamientos y normas legales se actualizan periódicamente y se les da cumplimiento en las prácticas del proceso.</t>
  </si>
  <si>
    <t>F2. Implementación de  Tecnologías de la Información en los procesos</t>
  </si>
  <si>
    <t>F3. Se tiene en cuenta la oferta de pasantes para el apoyo de las actividades operativas de algunas áreas del proceso</t>
  </si>
  <si>
    <t>F4. Desarrollo de programas  de bienestar laboral  que brindan  un ambiente laboral adecuado para el desarrollo de las actividades.</t>
  </si>
  <si>
    <t>F11. Existen indicadores para medir la eficacia y eficiencia del proceso, los cuales se miden de manera objetiva para tomar las acciones necesarias que permitan obtener los resultados previstos y aportar al logro de los objetivos institucionales.</t>
  </si>
  <si>
    <t>F12. Existe retroalimentación de las conclusiones al análisis de los indicadores para la formulación o reformulación de los planes de mejora.</t>
  </si>
  <si>
    <t>F13. Se asegura por medio de mesas de trabajo la gestión del conocimiento al interior del proceso.</t>
  </si>
  <si>
    <t>F14. Existe y se conoce el direccionamiento estratégico de la universidad.</t>
  </si>
  <si>
    <t>F15. Se aplican diversas políticas y estrategias institucionales al interior del proceso, con el fin de aportar a la Alta Dirección en el logro de los objetivos previstos</t>
  </si>
  <si>
    <t>F16. Personal altamente calificado en las áreas que componen el proceso</t>
  </si>
  <si>
    <t>F5. Colaboradores comprometidos con el proceso y las mejoras que se deban implementar.</t>
  </si>
  <si>
    <t>F1. Equipo de trabajo competente y disponible para el desarrollo de las actividades</t>
  </si>
  <si>
    <t>F10. Se asegura oportunamente la Gestión del Conocimiento al interior del proceso.</t>
  </si>
  <si>
    <t>F13. Cumplimiento  y ejecución a las actividades de acuerdo a los requisitos e información  contemplad en los procedimientos y documentos del proceso.</t>
  </si>
  <si>
    <t>F14. El proceso opera de manera articulada al logro de  los objetivos institucionales.</t>
  </si>
  <si>
    <t>F2. La articulación del proceso con las políticas misionales encaminadas al desarrollo institucional (Ciencia, Tecnología e Investigación, Dialogando con el Mundo, Interacción Social Universitaria, Inclusión entre otras)</t>
  </si>
  <si>
    <t>F3. Campañas de Promoción y Prevención para la Comunidad Universitaria</t>
  </si>
  <si>
    <t>F4. Aplicación de estrategias por parte del proceso, dirigidas a abordar temas relacionados con la Inclusión en la Institución</t>
  </si>
  <si>
    <t>F5. Plataforma SIPSE</t>
  </si>
  <si>
    <t>F6. El proceso desarrolla acciones que aportan a la transformación del ser humano, a ser mejores personas y poder trabajar de la mano con los demás</t>
  </si>
  <si>
    <t>F7. Programas de Formación Integral que brindan al estudiante la posibilidad de mejorar su calidad de vida universitaria mediante actividades de interés .</t>
  </si>
  <si>
    <t>F8. Desarrollo de programas  de bienestar laboral  que brindan  un ambiente propicio para el desarrollo de las actividades.</t>
  </si>
  <si>
    <t>F9.  Funciones designadas de manera equilibrada para cada puesto de trabajo estableciendo roles , responsabilidades y perfil del personal contratado.</t>
  </si>
  <si>
    <t xml:space="preserve">PROCESO GESTIÓN BIENESTAR UNIVERSITARIO </t>
  </si>
  <si>
    <t>F15. Existe retroalimentación de las conclusiones al análisis de los indicadores para la formulación o reformulación de los planes de mejora interna del proceso.</t>
  </si>
  <si>
    <t>F16. Las actividades a realizar en el proceso durante el semestre son planificadas.</t>
  </si>
  <si>
    <t>F7.Programas de Formación Integral que brindan al estudiante la posibilidad de fortalecer sus habilidades individuales y grupales.</t>
  </si>
  <si>
    <t>F8.  Funciones designadas de manera equilibrada para cada puesto de trabajo estableciendo roles, responsabilidades y perfil del personal contratado.</t>
  </si>
  <si>
    <t>F9. Se asegura oportunamente la Gestión del Conocimiento al interior del proceso.</t>
  </si>
  <si>
    <t>F10. Canales de comunicación claramente establecidos y asertivos para el desarrollo de las actividades.</t>
  </si>
  <si>
    <t>F11. La normatividad aplicable al proceso se conoce y es actualizada periódicamente.</t>
  </si>
  <si>
    <t>F12. Cumplimiento  y ejecución a las actividades de acuerdo a los requisitos e información contemplada en los procedimientos y documentos del proceso</t>
  </si>
  <si>
    <t>F13. El proceso opera de manera articulada al logro de  los objetivos institucionales.</t>
  </si>
  <si>
    <t>F14. Existe retroalimentación de las conclusiones al análisis de los indicadores para la formulación o reformulación de los planes de mejora interna del proceso.</t>
  </si>
  <si>
    <t>F15. Las actividades a realizar en el proceso durante el semestre son planificadas.</t>
  </si>
  <si>
    <t>F1 - Implementación y aplicación de Políticas y normatividades legales dentro del desarrollo del Proceso</t>
  </si>
  <si>
    <t xml:space="preserve">F10 - Personal administrativo competente para las actividades de Investigación </t>
  </si>
  <si>
    <t>F11 - Convocatorias permanentes de Proyectos de Investigación internas.</t>
  </si>
  <si>
    <t>F12 - Disponibilidad de recursos económicos para la transferencia de resultados</t>
  </si>
  <si>
    <t>F13 - Prestigio conseguido por la universidad por su liderazgo cultural y su compromiso social</t>
  </si>
  <si>
    <t>F14 - Presencia privilegiada de la universidad en las regiones del Departamento</t>
  </si>
  <si>
    <t>F15 - Instalaciones deportivas que facilitan la investigación en la formación de deportistas de alto rendimiento</t>
  </si>
  <si>
    <t xml:space="preserve">F18 - Se cuenta con investigadores y coordinadores de investigación para cada una de la sede, seccionales y extensiones de la Universidad de Cundinamarca. </t>
  </si>
  <si>
    <t>F19 - Roles, responsabilidades y autoridades establecidas dentro del proceso.</t>
  </si>
  <si>
    <t>F2 - Infraestructura tecnológica</t>
  </si>
  <si>
    <t>F20 - Bienestar laboral propicio para el personal administrativo.</t>
  </si>
  <si>
    <t xml:space="preserve">F21 - Información y documentación disponible, segura, confiable, actualizada y verificable </t>
  </si>
  <si>
    <t xml:space="preserve">F22 - Indicadores establecidos para medir los resultados de la  gestión </t>
  </si>
  <si>
    <t>F23 - Planificación de actividades a realizar en el semestre</t>
  </si>
  <si>
    <t>F24 - Se cuenta con un mecanismo que permite el reconocimiento y estímulo económico para profesores y estudiantes que participen en proyectos.</t>
  </si>
  <si>
    <t xml:space="preserve">F25- Implementación del Fondo Ciencia, Tecnología e Innovación. </t>
  </si>
  <si>
    <t xml:space="preserve">F26- Trabajo colaborativo para el cumplimiento de las actividades propuestas. </t>
  </si>
  <si>
    <t>F3 - Relaciones de la Universidad con la Sociedad</t>
  </si>
  <si>
    <t>F4 - Convenios internacionales</t>
  </si>
  <si>
    <t>F5 - Oficina de interacción universitaria  facilitadora de socialización y apropiación del conocimiento de los resultados de investigación por parte de los usuarios.</t>
  </si>
  <si>
    <t>F7 - Modulo de Proyectos de Investigación en la plataforma institucional</t>
  </si>
  <si>
    <t>F8 - Gestión Documental al día y organizada</t>
  </si>
  <si>
    <t>F9 - Trazabilidad de las convocatorias y proyectos de investigación</t>
  </si>
  <si>
    <t xml:space="preserve">F6 - Espacio de Investigación en el portal web de la Universidad de Cundinamarca. </t>
  </si>
  <si>
    <t>F16. Reconocimiento y categorización de los grupos de investigación por Minciencias.</t>
  </si>
  <si>
    <t>F17 - El incremento de los Investigadores categorizados por Minciencias.</t>
  </si>
  <si>
    <t xml:space="preserve">F5. Espacio de Investigación en el portal web de la Universidad de Cundinamarca. </t>
  </si>
  <si>
    <t>F6. Módulo de Proyectos de Investigación en la plataforma institucional.</t>
  </si>
  <si>
    <t>F7. Gestión Documental al día y organizada.</t>
  </si>
  <si>
    <t>F8. Trazabilidad de las convocatorias y proyectos de investigación.</t>
  </si>
  <si>
    <t>F9. Personal administrativo competente para las actividades de Investigación.</t>
  </si>
  <si>
    <t>F10. Convocatorias permanentes de Proyectos de Investigación internas.</t>
  </si>
  <si>
    <t>F11. Disponibilidad de recursos económicos para la transferencia de resultados.</t>
  </si>
  <si>
    <t>F12. Prestigio conseguido por la universidad por su liderazgo cultural y su compromiso social.</t>
  </si>
  <si>
    <t>F13. Presencia privilegiada de la universidad en las regiones del Departamento.</t>
  </si>
  <si>
    <t>F14. Reconocimiento y categorización de los grupos de investigación por Min ciencias.</t>
  </si>
  <si>
    <t>F15. El incremento de los Investigadores categorizados por Min ciencias.</t>
  </si>
  <si>
    <t>F16. Roles, responsabilidades y autoridades establecidas dentro del proceso.</t>
  </si>
  <si>
    <t>F17. Bienestar laboral propicio para el personal administrativo.</t>
  </si>
  <si>
    <t>F18. Información y documentación disponible, segura, confiable, actualizada y verificable.</t>
  </si>
  <si>
    <t>F19. Indicadores establecidos para medir los resultados de la  gestión.</t>
  </si>
  <si>
    <t>F20. Planificación de actividades a realizar en el semestre.</t>
  </si>
  <si>
    <t>F21. Se cuenta con un mecanismo que permite el reconocimiento y estímulo económico para profesores y estudiantes que participen en proyectos.</t>
  </si>
  <si>
    <t xml:space="preserve">F22. Implementación del Fondo Ciencia, Tecnología e Innovación. </t>
  </si>
  <si>
    <t xml:space="preserve">F23. Trabajo colaborativo para el cumplimiento de las actividades propuestas. </t>
  </si>
  <si>
    <t>F24. Conformación de la Editorial de la Universidad de Cundinamarca.</t>
  </si>
  <si>
    <t xml:space="preserve">F25. Construcción e implementación del CAI (Campo de Aprendizaje Institucional) de CTI. </t>
  </si>
  <si>
    <t xml:space="preserve">F26. Establecimiento del procedimiento red de investigación y/o académico-científica. </t>
  </si>
  <si>
    <t>F1 :La oficina de comunicaciones cuenta con una infraestructura física adecuada en lo que se refiere a espacios e iluminación.</t>
  </si>
  <si>
    <t>F10: Aceptación y acogida del material que se produce en la oficina</t>
  </si>
  <si>
    <t>F11. Planificación y designación de actividades conforme con los diferentes perfiles profesionales con los que cuenta la Oficina Asesora de Comunicaciones</t>
  </si>
  <si>
    <t>F12. Se generan ambientes que fomentan el respeto y aprendizaje continuo dentro del proceso</t>
  </si>
  <si>
    <t>F13. Se realizan backups de la información para la conservación del material digital y las actividades operativas del proceso</t>
  </si>
  <si>
    <t>F14. Respuesta oportuna en las actividades y solicitudes del proceso</t>
  </si>
  <si>
    <t>F15.Los indicadores reflejan el desempeño del proceso y aportan al cumplimiento del plan rectoral y el plan estratégico</t>
  </si>
  <si>
    <t>F16. Divulgación de las políticas institucionales en los medios de comunicación de la institución</t>
  </si>
  <si>
    <t>F17. Creación de contenido enfocado en sensibilizar e informar a los estudiantes sobre el desempeño institucional, temas culturales e internacionales</t>
  </si>
  <si>
    <t>F18. Desarrollo de micro sitios para las dependencias con el objetivo de generar mayor visibilidad en las actividades</t>
  </si>
  <si>
    <t xml:space="preserve">F19. Producción de contenido radial y visual a toda la comunidad universitaria con enfoque inclusivo </t>
  </si>
  <si>
    <t>F2: Equipo humano competente con las exigencias actuales para producir contenido de calidad</t>
  </si>
  <si>
    <t>F20. Se cuenta con gestores que apoyan las actividades del proceso en seccionales y extensiones</t>
  </si>
  <si>
    <t>F3: Uso de varios recursos de comunicación (web, intranet, correos masivos, redes sociales, carteleras digitales, periódico, producción audiovisual)</t>
  </si>
  <si>
    <t>F4: Aplicación institucional para la gestión de las solicitudes internas de comunicación.</t>
  </si>
  <si>
    <t>F5: Variedad de servicios con el fin de satisfacer las necesidades de comunicación del usuario interno( producción audiovisual, cubrimiento de eventos, relacionamiento con los medios de comunicación)</t>
  </si>
  <si>
    <t>F6. Portal institucional actualizado (programas de pregrado y posgrados, cursos de educación continuada e información de interés de la institución) con base en las necesidades de información de los grupos de interés (estudiantes, docentes, administrativos, graduados, etc.)</t>
  </si>
  <si>
    <t>F7: Cumplimiento de requisitos legales en el portal web (acceso a la información pública)</t>
  </si>
  <si>
    <t xml:space="preserve">HERRAMIENTAS </t>
  </si>
  <si>
    <t>F8. El portal institucional tiene alrededor de 9 millones de visitas (Datos de la vigencia 2020)</t>
  </si>
  <si>
    <t>F9. Apropiación de la herramienta SIS para los requerimientos de servicios brindados por la oficina asesora de comunicaciones.</t>
  </si>
  <si>
    <t>F8. El portal institucional tiene alrededor de 9.046.841 de visitas (Datos de la vigencia 2021)</t>
  </si>
  <si>
    <t xml:space="preserve">F17. Creación de contenido enfocado en sensibilizar e informar a los estudiantes sobre el desempeño institucional y temas culturales </t>
  </si>
  <si>
    <t>F20. Se cuenta con gestores que apoyan las actividades del proceso en seccionales y extensiones (En algunos casos son designados por la dirección administrativa)</t>
  </si>
  <si>
    <t xml:space="preserve">F1. Recurso Humano idóneo en conocimiento y actualización de saberes propios de implicación directa con las funciones de la oficina. </t>
  </si>
  <si>
    <t>F2. Recurso económico suficiente para las actividades de la oficina.</t>
  </si>
  <si>
    <t>F3. Criterio jurídico, asertivo y objetivo.</t>
  </si>
  <si>
    <t>F4. Procedimientos documentados.</t>
  </si>
  <si>
    <t xml:space="preserve">F5. Herramientas tecnológicas suficientes para el cumplimiento dela función. </t>
  </si>
  <si>
    <t>F6. Se han desarrollado procesos de capacitación en temas generales de bienestar y operativos para la planta administrativa de la Universidad de Cundinamarca.</t>
  </si>
  <si>
    <t>F8. Se realiza mantenimiento preventivo a los equipos de la oficina.</t>
  </si>
  <si>
    <t>F10. Los métodos de contratación y compras de la universidad son pertinentes.</t>
  </si>
  <si>
    <t>F12. En el proceso se promueve el bienestar laboral / hábitos saludables.</t>
  </si>
  <si>
    <t>F.13 Se cuenta con metas claras y precisas para el cumplimiento del plan estratégico</t>
  </si>
  <si>
    <t xml:space="preserve">F.14 Se actualizan periódicamente los requisitos legales aplicables al proceso. </t>
  </si>
  <si>
    <t xml:space="preserve">F15. Se cuenta con una página web propia de la Dirección de Control Interno Disciplinario para la publicación de comunicaciones, notificaciones, o alguna otra información de interés. </t>
  </si>
  <si>
    <t xml:space="preserve">F5. Herramientas tecnológicas suficientes para el cumplimiento de la función. </t>
  </si>
  <si>
    <t>F11. Existe un indicador que mide la eficacia y eficiencia de los procesos de la dirección.</t>
  </si>
  <si>
    <t>F1. Liderazgo del Gestor Responsable.</t>
  </si>
  <si>
    <t>F2. Equipo de Trabajo Multidisciplinario.</t>
  </si>
  <si>
    <t>F3. Buen clima Organizacional.</t>
  </si>
  <si>
    <t>F4. Adaptación al cambio.</t>
  </si>
  <si>
    <t>F5. Mayor cobertura en el desarrollo de actividades de los Procesos.</t>
  </si>
  <si>
    <t>F6. Mayor utilización de los medios de Comunicación de la Universidad.</t>
  </si>
  <si>
    <t>F7. Los profesionales de la oficina tiene mayor empoderamiento debido al fortalecimiento de las competencias.</t>
  </si>
  <si>
    <t>F8. Cultura de trabajo enfocada a resultados.</t>
  </si>
  <si>
    <t>F9. Claridad de los objetivos funciones y responsabilidades acorde a los perfiles.</t>
  </si>
  <si>
    <t>F10. Aplicativo institucional para  planificación y control de actividades de la oficina.</t>
  </si>
  <si>
    <t>F11. Documentación del proceso publicada, divulgada, actualizada y veraz.</t>
  </si>
  <si>
    <t>F12. Respuesta oportuna, clara y veraz a los diferentes procesos internos y externos.</t>
  </si>
  <si>
    <t>F13. Pasantes para el apoyo de las actividades de la oficina.</t>
  </si>
  <si>
    <t>F14. Se Implementa la ejecución de auditorias remotas.</t>
  </si>
  <si>
    <t>F15. Gestión de conocimiento especializado.</t>
  </si>
  <si>
    <t>F5. Mayor utilización de los medios de Comunicación de la Universidad.</t>
  </si>
  <si>
    <t>F6. Los profesionales de la oficina tiene mayor empoderamiento debido al fortalecimiento de las competencias.</t>
  </si>
  <si>
    <t>F7. Cultura de trabajo enfocada a resultados.</t>
  </si>
  <si>
    <t>F8. Aplicativo institucional para  planificación y control de actividades de la oficina.</t>
  </si>
  <si>
    <t>F9. Documentación del proceso publicada, divulgada, actualizada y veraz.</t>
  </si>
  <si>
    <t>F10. Pasantes para el apoyo de las actividades de la oficina.</t>
  </si>
  <si>
    <t xml:space="preserve">F11. Nuevos modelos de auditoría </t>
  </si>
  <si>
    <t>F12. Se Implementa la ejecución de auditorias remotas.</t>
  </si>
  <si>
    <t>F13. Proyecto de Sistematización del procedimiento de auditoría.</t>
  </si>
  <si>
    <t xml:space="preserve">F1. Amplio portafolio de servicios educativos. </t>
  </si>
  <si>
    <t>F11. Las herramientas de trabajo responden a las necesidades del proceso</t>
  </si>
  <si>
    <t>F12. Se cuenta con backups para la seguridad y trazabilidad de la información</t>
  </si>
  <si>
    <t>F13. Se cuenta con canales claros de comunicación</t>
  </si>
  <si>
    <t>F14. Los procesos de contratación son transparentes e imparciales</t>
  </si>
  <si>
    <t>F15. Existen indicadores para medir la eficacia y eficiencia del proceso</t>
  </si>
  <si>
    <t>F16. Credibilidad y confianza en la prestación de los servicios, los contratos y los convenios</t>
  </si>
  <si>
    <t>F17. Posibilidad de crear y fortalecer nuevas alianzas estratégicas con empresas e instituciones de educación superior</t>
  </si>
  <si>
    <t>F2. Independencia del proceso de contratación de la Universidad.</t>
  </si>
  <si>
    <t>F3. Relacionamiento favorable de los líderes del proceso con las entidades externas.</t>
  </si>
  <si>
    <t>F4.- Equipo humano interdisciplinario y competente.</t>
  </si>
  <si>
    <t>F5. Pertenecer a las entidades del sector público.</t>
  </si>
  <si>
    <t xml:space="preserve">F6. Ubicación geográfica favorable para la operación </t>
  </si>
  <si>
    <t>F7. Capacidad financiera para respaldar procesos de contratación.</t>
  </si>
  <si>
    <t>F8. Se han desarrollado procesos de capacitación a los funcionarios</t>
  </si>
  <si>
    <t>F9. Se delegan funciones y se propicia un buen clima de trabajo</t>
  </si>
  <si>
    <t>F10. Existe un manual de funciones y un manual de procedimientos.</t>
  </si>
  <si>
    <t>F18. Mediciones que realiza Seguridad y Salud en el Trabajo.</t>
  </si>
  <si>
    <t>F19. La infraestructura es apta para la prestación del servicio.</t>
  </si>
  <si>
    <t>F20. Se realizan capacitaciones de vida saludable "Seguridad y Salud en el Trabajo".</t>
  </si>
  <si>
    <t xml:space="preserve">F21. Se cuenta con documentación actualizada y se hace divulgación de la misma cuando se requiere. </t>
  </si>
  <si>
    <t>F22. La universidad cuenta con un proceso/programa para el análisis del clima laboral.</t>
  </si>
  <si>
    <t>F5. Pertenecer al sector público porque se puede crear y fortalecer alianzas estratégicas con instituciones de educación superior y entidades de este sector.</t>
  </si>
  <si>
    <t>F23. Se tienen metas claras y precisas para el cumplimiento del Plan Rectoral, Plan de Desarrollo y Planes de Acción.</t>
  </si>
  <si>
    <t>F1. Confidencialidad de la información.</t>
  </si>
  <si>
    <t>F10. Se cuenta con los elementos de protección para las correctas prácticas archivísticas</t>
  </si>
  <si>
    <t>F11. Control de temperatura y humedad para la correcta conservación del archivo</t>
  </si>
  <si>
    <t>F12. Se asegura la trazabilidad de las actividades ejecutadas mediante los informes de gestión de los funcionarios</t>
  </si>
  <si>
    <t>F2. Personal competente y actualizado capaz de brindar capacitaciones</t>
  </si>
  <si>
    <t>F3. Respuesta rápida y oportuna a la solicitud de Información.</t>
  </si>
  <si>
    <t>F4. Adecuadas prácticas archivísticas.</t>
  </si>
  <si>
    <t>F5. Planificación de las actividades del Proceso.</t>
  </si>
  <si>
    <t>F6. Recursos propios para el Proceso.</t>
  </si>
  <si>
    <t>F7. El personal cuenta con los recursos digitales necesarios para el cumplimiento de los objetivos.</t>
  </si>
  <si>
    <t xml:space="preserve">F8. Sinergia. </t>
  </si>
  <si>
    <t>F9. Los indicadores reflejan el desempeño del proceso y aportan al cumplimiento del plan rectoral y el plan estratégico</t>
  </si>
  <si>
    <t>F13. Apropiación del concepto transhumanidad y translocalidad mediante las actividades del proceso</t>
  </si>
  <si>
    <t>F14. Documentos que soportan la operación del proceso publicados y actualizados</t>
  </si>
  <si>
    <t>F15. Planificación de calibración y mantenimiento preventivo para los equipos del proceso</t>
  </si>
  <si>
    <t>F6. Recursos financieros propios para el proceso.</t>
  </si>
  <si>
    <t xml:space="preserve">F3. Respuesta positiva de las Universidades extranjeras a las cuales se ha contactado para la suscripción de convenios. </t>
  </si>
  <si>
    <t>F1. Compromiso de la alta Dirección de impulsar la gestión de la internacionalización como factor principal para fortalecer el frente estratégico "Dialogo Transfronterizo".</t>
  </si>
  <si>
    <t>F2. Dialogando con el mundo como eje transversal, para apoyar y fortalecer los procesos de: Formación y Aprendizaje, Interacción Social Universitaria y Bienestar Universitario.</t>
  </si>
  <si>
    <t xml:space="preserve">F4. Contar con la experiencia, el conocimiento y el sentido de pertenencia de los funcionarios a cargo del proceso Dialogando con el Mundo. </t>
  </si>
  <si>
    <t xml:space="preserve">F5. Prestigio a nivel nacional de las escuelas de verano "Bilingüismo", como cursos intersemestrales. </t>
  </si>
  <si>
    <t>F6. Se crea la estrategia de internacionalización en casas "Pluriverso transmoderno".</t>
  </si>
  <si>
    <t xml:space="preserve">F7. El diálogo de saberes, se implementa mediante  la estrategia  de docente embajador (los docentes  comparten sus experiencias de movilidad a la comunidad académica). </t>
  </si>
  <si>
    <t>F8. La Política Dialogando con el Mundo establece lineamientos claros.</t>
  </si>
  <si>
    <t>F9. El proceso Dialogando con el Mundo, ofrece a los estudiantes la posibilidad de ampliar sus conocimiento mediante la experiencia de pasantías.</t>
  </si>
  <si>
    <t xml:space="preserve">F10. El proceso Dialogando Mundo, promueve inclusión mediante el programa de voluntariado Internacional. </t>
  </si>
  <si>
    <t>F1. Compromiso de la alta Dirección de impulsar la gestión de la internacionalización como factor principal para fortalecer el frente estratégico "Diálogo Transfronterizo".</t>
  </si>
  <si>
    <t>F1. Plataformas y Herramientas digitales.</t>
  </si>
  <si>
    <t>F2.  Personal idóneo para las necesidades del Proceso</t>
  </si>
  <si>
    <t>F3. Conocimiento de la normatividad aplicable al proceso</t>
  </si>
  <si>
    <t>F4. Se realizan capacitaciones e inducciones a los funcionarios del proceso</t>
  </si>
  <si>
    <t>F5. Están plenamente establecidos las canales de comunicación internos y externos.</t>
  </si>
  <si>
    <t>F6. se cuanta con una planeación adecuada lo cual permite identificar y comunicar los cambios del proceso a todas las oficinas</t>
  </si>
  <si>
    <t>F7. Aprovechamiento de las capacitaciones brindadas por la contaduría general de la nación en actualización de normatividad general que aplica al proceso.</t>
  </si>
  <si>
    <t xml:space="preserve">F8. El proceso cuenta con funcionarios competentes y dispuesto a brindar soluciones oportunas dando cumplimiento a lo establecido en la normativa legal. </t>
  </si>
  <si>
    <t>F9. Personal con alta grado de compromiso para el cumplimiento  de los objetivos del proceso.</t>
  </si>
  <si>
    <t>F10. Se implementa la recepción de tramites por correo electrónico institucional y se gestionan oportunamente.</t>
  </si>
  <si>
    <t>F11. Los funcionarios tienen alto grado de adaptación al cambio frente a las contingencias.</t>
  </si>
  <si>
    <t xml:space="preserve">F12. Equipo de trabajo multidisciplinario, comprometido con alta capacidad de interacción y trabajo en equipo. </t>
  </si>
  <si>
    <t>F1. Plataformas y Herramientas digitales (gestasof, office 365 e integradoc)</t>
  </si>
  <si>
    <t>F2. El proceso cuenta con personal idóneo y dispuesto a brindar soluciones oportunas, con alto grado de compromiso para el cumplimiento de los objetivos del proceso, dando cumplimiento a lo establecido en la normativa legal.</t>
  </si>
  <si>
    <t>F4. Están plenamente establecidos las canales de comunicación internos y externos.</t>
  </si>
  <si>
    <t>F5. Se cuenta con una planeación adecuada lo cual permite identificar y comunicar los cambios del proceso a todas las oficinas, mediante los planes de trabajo.</t>
  </si>
  <si>
    <t>F6. Aprovechamiento de las capacitaciones brindadas por la contaduría general de la nación en actualización de normatividad general que aplica al proceso.</t>
  </si>
  <si>
    <t>F7. Se implementa la recepción de trámites por correo electrónico institucional.</t>
  </si>
  <si>
    <t>F8. Los funcionarios tienen alto grado de adaptación al cambio frente a las contingencias.</t>
  </si>
  <si>
    <t xml:space="preserve">F9. Equipo de trabajo multidisciplinario, comprometido con alta capacidad de interacción y trabajo en equipo. </t>
  </si>
  <si>
    <t>F10. Digitalización del procedimiento AFIP21 devolución de matrícula en el aplicativo Gestasoft facilitando el proceso a los estudiantes, no requieren aportar recibo de pago de matrícula y pueden hacer seguimiento de su trámite desde el usuario académico.</t>
  </si>
  <si>
    <t xml:space="preserve">F11. Digitalización de procedimientos y trámites en la herramienta Integradoc </t>
  </si>
  <si>
    <t>F12. El proceso hace uso de la oferta de pasantes que tiene la universidad.</t>
  </si>
  <si>
    <t>F13. En proceso de reingeniería con las áreas de financiera</t>
  </si>
  <si>
    <t>PROCESO GESTIÓN FORMACIÓN Y APRENDIZAJE</t>
  </si>
  <si>
    <t>F1 Planes y proyectos encaminados al cumplimiento del plan estratégico</t>
  </si>
  <si>
    <t>F19. (Postgrados) Equipo de trabajo calificado de acuerdo al perfil</t>
  </si>
  <si>
    <t>F2 Plan Estratégico orientado a la promoción y difusión de la oferta académica</t>
  </si>
  <si>
    <t>F20. (Postgrados) Instalaciones del área administrativa para la ejecución de actividades</t>
  </si>
  <si>
    <t>F22. Creación de contenido con enfoque inclusivo (Videos, audios, subtítulos, lectura)</t>
  </si>
  <si>
    <t>F23. Equipo interdisciplinar (Oficina de Educación Virtual y a Distancia)</t>
  </si>
  <si>
    <t>F24. Fortalecimiento en la gestión del conocimiento en la oficina de Educación Virtual y a Distancia con los procesos académicos</t>
  </si>
  <si>
    <t>F25. Mantenimiento preventivo a los equipos de la oficina de educación virtual y a distancia</t>
  </si>
  <si>
    <t>F3. Capacitaciones en áreas disciplinares especificas de la Escuela de Formación y Aprendizaje Docente S21 - EFADS21</t>
  </si>
  <si>
    <t>F4. Estrategia de resignificación curricular permanente</t>
  </si>
  <si>
    <t>F5. Estimulo y reconocimiento a los estudiantes y profesores que participan en proyectos CTI e ISU</t>
  </si>
  <si>
    <t>F6. Ruta de fortalecimiento pruebas de estado SABER</t>
  </si>
  <si>
    <t>F7. Sentido de pertenencia de los docentes por sus programas académicos</t>
  </si>
  <si>
    <t>F8. Consolidación de los procesos de autoevaluación para el logro de las condiciones de alta calidad</t>
  </si>
  <si>
    <t>F9. Tener una extensión en Chía como lugar para ofertar postgrados, por localización cercana a Bogotá y zonas de alto impacto</t>
  </si>
  <si>
    <t>F10. Salidas académicas como actividades de aprendizaje translocal</t>
  </si>
  <si>
    <t>F11. Perfiles de cargos administrativos y docentes definidos</t>
  </si>
  <si>
    <t>F12. Desarrollo de  sistemas de información a la medida para la gestión académica y administrativa</t>
  </si>
  <si>
    <t>F13. Respuesta oportuna, clara y veraz a las partes interesadas</t>
  </si>
  <si>
    <t>F14. Los indicadores son insumo para la mejora continua del proceso</t>
  </si>
  <si>
    <t>F15. Apoyo de pasantes y monitores para el desarrollo de actividades</t>
  </si>
  <si>
    <t>F16. Apoyo de los monitores académicos para el cumplimiento de las funciones sustantivas</t>
  </si>
  <si>
    <t>F17. (Postgrados) Equipo de trabajo calificado de acuerdo al perfil</t>
  </si>
  <si>
    <t>F18. (Postgrados) Instalaciones del área administrativa para la ejecución de actividades</t>
  </si>
  <si>
    <t>F19. Oferta de cursos virtuales a nivel internacional</t>
  </si>
  <si>
    <t>F20. Creación de contenido con enfoque inclusivo (Videos, audios, subtítulos, lectura)</t>
  </si>
  <si>
    <t>F21. Equipo interdisciplinar (Oficina de Educación Virtual y a Distancia)</t>
  </si>
  <si>
    <t>F22. Fortalecimiento en la gestión del conocimiento en la oficina de Educación Virtual y a Distancia con los procesos académicos</t>
  </si>
  <si>
    <t>F23. Mantenimiento preventivo a los equipos de la oficina de educación virtual y a distancia</t>
  </si>
  <si>
    <t>F24. Asignación de espacios académicos acorde a las limitaciones físicas que presente la comunidad universitaria.</t>
  </si>
  <si>
    <t>F25. Implementación de la política de educación superior inclusiva</t>
  </si>
  <si>
    <t>F26. Espacio e infraestructura del centro académico deportivo</t>
  </si>
  <si>
    <t>F27. Ubicación geográfica del centro académico deportivo</t>
  </si>
  <si>
    <t>F28. Articulación académica del CAD con la universidad</t>
  </si>
  <si>
    <t>F29. Reconocimiento y respaldo institucional como Centro Académico Deportivo y campo de aprendizaje</t>
  </si>
  <si>
    <t>F30. Sentido de pertenencia y responsabilidad por parte de los funcionarios para la correcta operación del CAD</t>
  </si>
  <si>
    <t>F31. Contar con espacios de alojamiento y cafetería como valor agregado para el CAD</t>
  </si>
  <si>
    <t>F32. Generación de nuevos servicios</t>
  </si>
  <si>
    <t>F1. Planes y proyectos encaminados al cumplimiento del plan de acción</t>
  </si>
  <si>
    <t>F3. Formación de los profesores en los circuitos ofrecidos por la Escuela de Formación y Aprendizaje Docente - EFAD S21</t>
  </si>
  <si>
    <t>F9. Salidas académicas como actividades de aprendizaje translocal</t>
  </si>
  <si>
    <t>F10. Perfiles de cargos administrativos y docentes definidos</t>
  </si>
  <si>
    <t>F11. Desarrollo de  sistemas de información a la medida para la gestión académica y administrativa</t>
  </si>
  <si>
    <t>F12. Respuesta oportuna, clara y veraz a las partes interesadas</t>
  </si>
  <si>
    <t>F13. Los indicadores son insumo para la mejora continua del proceso</t>
  </si>
  <si>
    <t>F14. Apoyo de pasantes y monitores para el desarrollo de actividades</t>
  </si>
  <si>
    <t>F15. Apoyo de los monitores académicos para el cumplimiento de las funciones sustantivas</t>
  </si>
  <si>
    <t>F16. Asignación de espacios académicos físicos acorde a las limitaciones físicas que presente la comunidad universitaria.</t>
  </si>
  <si>
    <t>F17. Implementación de la política de educación superior inclusiva</t>
  </si>
  <si>
    <t>F18. Tener una extensión en Chía como lugar para ofertar postgrados, por localización cercana a Bogotá y zonas de alto impacto</t>
  </si>
  <si>
    <t>F21. Implementación y puesta en marcha del instituto de postgrados</t>
  </si>
  <si>
    <t>F26. Apropiación de la licencia suite adobe</t>
  </si>
  <si>
    <t>F27. Espacio e infraestructura del centro académico deportivo</t>
  </si>
  <si>
    <t>F28. Ubicación geográfica del centro académico deportivo</t>
  </si>
  <si>
    <t>F29. Articulación académica del CAD con la universidad</t>
  </si>
  <si>
    <t>F1. Se cuentan con metas claras y precisas para el cumplimiento del Plan Rectoral y el Plan Estratégico</t>
  </si>
  <si>
    <t>F2. Actividades encaminadas a fortalecer el comportamiento social y como se contribuye al desarrollo del otro, por medio del voluntariado, proyectos de proyección social, ofertas de educación continuada y modelo de responsabilidad social universitaria</t>
  </si>
  <si>
    <t>F3. Las actividades a realizar en el transcurso del semestre son planificadas teniendo en cuenta las necesidades del proceso y de la Institución.</t>
  </si>
  <si>
    <t>F4. Infraestructura Física adecuada para los servicios que ofrece la oficina de Interacción universitaria.</t>
  </si>
  <si>
    <t>F5. La normatividad aplicable al proceso se conoce y es actualizada periódicamente.</t>
  </si>
  <si>
    <t>F6. Precios asequibles para la Comunidad en General.</t>
  </si>
  <si>
    <t>F7. Se realizan procesos de capacitación, inducción y reinducción a los funcionarios para el desarrollo sus competencias laborales.</t>
  </si>
  <si>
    <t>F8.  Los perfiles de los funcionarios cumplen con las necesidades operativas actuales del proceso.</t>
  </si>
  <si>
    <t>F9. Funciones designadas de manera equilibrada para cada puesto de trabajo estableciendo roles, responsabilidades y perfil del personal contratado.</t>
  </si>
  <si>
    <t>F9. Funciones designadas de manera equilibrada para cada puesto de trabajo estableciendo roles, responsabilidades y un coordinador para asegurar la gestión del conocimiento.</t>
  </si>
  <si>
    <t>F11. Accesibilidad de la comunidad universitaria a canales de comunicación como micro sitio de interacción, línea institucional, redes sociales y plataformas digitales</t>
  </si>
  <si>
    <t xml:space="preserve">F1. Se propicia un buen clima de trabajo </t>
  </si>
  <si>
    <t>F2. Los funcionarios están comprometidos con el desarrollo de las actividades realizadas.</t>
  </si>
  <si>
    <t xml:space="preserve">F3. Se realiza retroalimentación a través de reuniones de trabajo. </t>
  </si>
  <si>
    <t>F4. Se agilizan y se priorizan trámites para cumplir con los objetivos del proceso.</t>
  </si>
  <si>
    <t>F5.Transición de herramienta tecnológica (Integradoc) como apoyo a la gestión de información y documentación</t>
  </si>
  <si>
    <t>F5.Uso de herramienta tecnológica (Integradoc) como apoyo a la gestión de control y documentación</t>
  </si>
  <si>
    <t>F1. Implementación de un nuevo Modelo Integrado de Planeación y Gestión</t>
  </si>
  <si>
    <t>F2. Construcción de espacios participativos y de discusión entre los diferentes actores de la comunidad Académica.</t>
  </si>
  <si>
    <t>F4. La asignación del rubro presupuestal por parte de la universidad es suficiente para el cumplimiento de las actividades del proceso.</t>
  </si>
  <si>
    <t>F8. Se realizan procesos de capacitación e inducción a los funcionarios para el desarrollo sus competencias laborales.</t>
  </si>
  <si>
    <t>F3. Implementación de buenas prácticas de Gestión</t>
  </si>
  <si>
    <t>F5. Fortalecimiento de la Planeación Estratégica</t>
  </si>
  <si>
    <t>F6. Buenas Instalaciones e Infraestructura para el desarrollo de las actividades del proceso.</t>
  </si>
  <si>
    <t>F7. Los funcionarios  tienen conocimiento  de las actividades propias del proceso cumpliendo a cabalidad las funciones  y actividades en el tiempo planificado.</t>
  </si>
  <si>
    <t>F8. Canales de comunicación claramente establecidos y asertivos para el desarrollo de las actividades.</t>
  </si>
  <si>
    <t>F9. El proceso opera en concordancia con los lineamientos establecidos en el Plan Rectoral y Plan de Desarrollo, con el fin de contribuir al logro de  los objetivos institucionales.</t>
  </si>
  <si>
    <t>F10. Construcción de documentos estratégicos que establecen las líneas de acción que deben ejecutar los procesos de la Universidad, para el cumplimiento de los objetivos Institucionales.</t>
  </si>
  <si>
    <t>F1. Aplicativo propio para realizar solicitudes a la Institución</t>
  </si>
  <si>
    <t xml:space="preserve">F2.   Inducción y capacitación sobre los procedimientos a funcionarios, docentes y estudiantes de la institución  </t>
  </si>
  <si>
    <t>F3. Buen Ambiente de trabajo</t>
  </si>
  <si>
    <t>F4. Apoyo  por  parte  de las seccionales y extensiones en asignar una persona para optimizar los tramites y los tiempos determinados por la ley</t>
  </si>
  <si>
    <t>F5. Se cuenta con infraestructura adecuada y acorde a la necesidades las partes interesadas  en la sede Fusagasugá.</t>
  </si>
  <si>
    <t>F6. Solicitud y asistencia a capacitaciones en materia de inclusión (lenguaje de señas)</t>
  </si>
  <si>
    <t>F7. Se fortalece la transhumanidad en el proceso a través del servicio que se presta a la comunidad universitaria y la comunidad en general</t>
  </si>
  <si>
    <t>F8.Fortalecimiento en la articulación y participación de los gestores de las seccionales y extensiones en los temas del SGC</t>
  </si>
  <si>
    <t>F9. Mecanismos virtuales y presenciales para que la comunidad en general acceda a los servicios que presta la oficina.</t>
  </si>
  <si>
    <t>F6. Promoción de capacitaciones en materia de inclusión (lenguaje de señas y lenguaje claro)</t>
  </si>
  <si>
    <t>F10. Horario adicional en la atención presencial a la comunidad en general en la sede de Fusagasugá</t>
  </si>
  <si>
    <t>F11. Atención en tiempo real en el chat virtual, lo que ayudo a disminuir las PQRS</t>
  </si>
  <si>
    <t>F1. Apoyo de la alta dirección para el mantenimiento del Sistema Integrado de Gestión</t>
  </si>
  <si>
    <t>F2. Equipos e infraestructura adecuados para la Oficina de Calidad.</t>
  </si>
  <si>
    <t>F3. El sistema de gestión de la calidad hace parte de la estrategia de la organización.</t>
  </si>
  <si>
    <t>F4. Alto grado de Compromiso de los funcionarios del proceso para el desarrollo de las actividades.</t>
  </si>
  <si>
    <t>F5. Se asegura la Gestión del Conocimiento al interior del proceso por parte de los funcionarios, cumpliendo a cabalidad las actividades en el tiempo planificado.</t>
  </si>
  <si>
    <t>F6. Se cuenta  con backups para la seguridad y trazabilidad de la información.</t>
  </si>
  <si>
    <t>F7. Se tiene en cuenta la oferta de pasantes para el apoyo en la ejecución de las actividades del proceso.</t>
  </si>
  <si>
    <t>F8. Implementación de herramientas digitales y metodologías para la optimización de trámites y procesos.</t>
  </si>
  <si>
    <t>F10. Buen clima organizacional y sinergia en el equipo de trabajo.</t>
  </si>
  <si>
    <t>F1. Existen indicadores para medir la eficacia del proceso, los cuales permiten tomar las acciones necesarias que permitan obtener los resultados previstos y aportar al logro de los objetivos institucionales.</t>
  </si>
  <si>
    <t>F10.  Los perfiles de los funcionarios cumplen con las necesidades operativas del proceso.</t>
  </si>
  <si>
    <t>F2. La Dirección de Sistemas y Tecnología cuenta con un esquema de trabajo planificado y organizado que permite la distribución, ejecución y seguimiento de las actividades programadas.</t>
  </si>
  <si>
    <t>F3. Se realiza mantenimiento preventivo y/o correctivo de los equipos de acuerdo a un cronograma establecido permitiendo su control y cumplimiento.</t>
  </si>
  <si>
    <t>F4. Fortalecimiento de los canales de datos para la mejora de la conectividad al interior de la Universidad de Cundinamarca</t>
  </si>
  <si>
    <t>F5. Director del Proceso comprometido con los requerimientos institucionales y que son resorte de la Dirección de Sistemas y Tecnología.</t>
  </si>
  <si>
    <t>F6. Implementación del Sistema de Gestión de Seguridad de la Información en la Universidad de Cundinamarca como lineamiento del componente de Seguridad y Privacidad de la Información en la estrategia de Gobierno Digital.</t>
  </si>
  <si>
    <t>F7. Implementación de Sistemas de Información para los procesos misionales y administrativos, atendiendo las necesidades de las partes interesadas.</t>
  </si>
  <si>
    <t>F8. Fortalecimientos de los canales de comunicación interno en sedes, seccionales, extensiones y oficina de Bogotá</t>
  </si>
  <si>
    <t>F9. Nuevos desarrollos que permitan la automatización de procesos y procedimientos contribuyendo  a una Institución Universitaria Digital</t>
  </si>
  <si>
    <t>F11. Se cuenta con metas claras y enfocadas a lograr el cumplimiento del Plan Rectoral y el Plan de Desarrollo que plantea la Institución.</t>
  </si>
  <si>
    <t>F12. Se asegura de manera constante la Gestión del Conocimiento al interior del proceso, por medio de los líderes de área.</t>
  </si>
  <si>
    <t>F13. Se conoce, se aplica y se actualiza periódicamente la normatividad legal aplicable al proceso.</t>
  </si>
  <si>
    <t>F1. Se realiza mantenimiento preventivo y/o correctivo de los equipos de acuerdo a un cronograma establecido permitiendo su control y cumplimiento.</t>
  </si>
  <si>
    <t>F2. Fortalecimiento de los canales de datos para la mejora de la conectividad al interior de la Universidad de Cundinamarca.</t>
  </si>
  <si>
    <t>F3. Director del Proceso comprometido con los requerimientos institucionales y que son resorte de la Dirección de Sistemas y Tecnología.</t>
  </si>
  <si>
    <t>F4. Implementación de Sistemas de Información para los procesos misionales y administrativos, atendiendo las necesidades de las partes interesadas.</t>
  </si>
  <si>
    <t>F5. Fortalecimiento de los canales de comunicación internos en sedes, seccionales, extensiones y oficina de Bogotá.</t>
  </si>
  <si>
    <t>F6. Nuevos desarrollos que permitan la automatización de procesos y procedimientos contribuyendo  a una Institución Universitaria Digital</t>
  </si>
  <si>
    <t>F7. Se cuenta con metas claras y enfocadas a lograr el cumplimiento del Plan Rectoral y el Plan de Desarrollo que plantea la Institución.</t>
  </si>
  <si>
    <t>F8. Se asegura de manera constante la gestión del conocimiento al interior del proceso por medio de los líderes de área.</t>
  </si>
  <si>
    <t>F9. Articulación con la academia por medio de pasantes para el apoyo de tareas específicas dentro del proceso</t>
  </si>
  <si>
    <t xml:space="preserve">F1. Cultura laboral respetuosa, agradable y enfocada al servicio. </t>
  </si>
  <si>
    <t>F2. Comunicación asertiva entre los funcionarios de la oficina.</t>
  </si>
  <si>
    <t>F5. Pago oportuno de la nomina y prestaciones sociales.</t>
  </si>
  <si>
    <t>F6. Crecimiento de los funcionarios a nivel académico.</t>
  </si>
  <si>
    <t>F7. Equipo de trabajo dedicado al desarrollo de software en la universidad de Cundinamarca.</t>
  </si>
  <si>
    <t>F8. Contar con espacios deportivos al servicio de los funcionarios de la Universidad que permiten generar bienestar.</t>
  </si>
  <si>
    <t>F9. Sistematización para procedimiento de Acuerdos de Gestión y diferentes software para el mejoramiento de la calidad del proceso.</t>
  </si>
  <si>
    <t>F10. Roles, responsabilidades y autoridades establecidas dentro del proceso</t>
  </si>
  <si>
    <t>F11. Personal competente para el desarrollo de las actividades del proceso</t>
  </si>
  <si>
    <t xml:space="preserve">F12. Se cuenta con una estructura clara y definida del proceso de comunicación interna y externa </t>
  </si>
  <si>
    <t>F13. Elementos e insumos de trabajo suficientes y acordes para el desarrollo de actividades del proceso</t>
  </si>
  <si>
    <t>F14. Implementación y aplicación de una política previamente establecida dentro del desarrollo del Proceso</t>
  </si>
  <si>
    <t>F15. Se cuenta con una planificación de actividades a realizar durante el semestre</t>
  </si>
  <si>
    <t xml:space="preserve">F16. Indicadores establecidos para medir los resultados de la  gestión </t>
  </si>
  <si>
    <t xml:space="preserve">F17. Sistematización de algunas actividades dentro de los procedimientos. </t>
  </si>
  <si>
    <t>F18. El proceso cuenta con gestores en las seccionales y extensiones.</t>
  </si>
  <si>
    <t>F19. Equipo de trabajo multidisciplinario que se apoya mutuamente.</t>
  </si>
  <si>
    <t>F20. Cumplimiento en el 100% de las inducciones y reinducciones al personal.</t>
  </si>
  <si>
    <t>F3. Planes de capacitación enfocados a la mejora continua de los funcionarios.</t>
  </si>
  <si>
    <t>F4. Equipo de trabajo comprometido con los objetivos del proceso.</t>
  </si>
  <si>
    <t>F21. Trabajo articulado con las Oficinas de Atención al Ciudadano y la Oficina Asesora de Comunicaciones, en pro del servicio al cliente interno y temas de Clima y Cultura Organizacional.</t>
  </si>
  <si>
    <t>F3. Sistematización de algunas actividades dentro de los procedimientos. (software para manejo de ausentismo, seguimiento a condiciones de salud e investigación de accidentes de trabajo).</t>
  </si>
  <si>
    <t>F4. Participación de representante de SG-SST en la comisión de gestión, como invitado.</t>
  </si>
  <si>
    <t>F5. Equipo de trabajo competente y comprometido con los objetivos del proceso.</t>
  </si>
  <si>
    <t>F9. Roles, responsabilidades y autoridades establecidas dentro del SG-SST,  establecidas en resolución rectoral 027 de 2020.</t>
  </si>
  <si>
    <t>F10. Se cuenta con una estructura clara y definida del proceso de comunicación interna y externa.</t>
  </si>
  <si>
    <t>F11. Se cuenta con una planificación de actividades a realizar durante el semestre.</t>
  </si>
  <si>
    <t>F12. Se cuenta con alianzas estratégicas de empresa y instituciones académicas para el desarrollo de las actividades del SG-SST.</t>
  </si>
  <si>
    <t>F13. Trabajo en equipo con los programas educativos de la Universidad.</t>
  </si>
  <si>
    <t xml:space="preserve">F14. Contar con un rubro presupuestal independiente. </t>
  </si>
  <si>
    <t>F15. Prerrequisito para la contratación del curso virtual de 50 horas.</t>
  </si>
  <si>
    <t>F16. Inducción del SG SST.</t>
  </si>
  <si>
    <t>F17. Implementación del SG-SST en un 97% según Resolución 0312 de 2019 dando cumplimiento al Decreto 1072 de 2015.</t>
  </si>
  <si>
    <t>F18. Realización de reuniones frecuentes y pronto tratamiento de los casos reportados  - comité de convivencia laboral.</t>
  </si>
  <si>
    <t>F19. Campañas de comunicación relacionadas al SG SST con apoyo del proceso de comunicaciones de la Universidad de  Cundinamarca.</t>
  </si>
  <si>
    <t>F5. Equipo de trabajo con las competencias requeridas para el cumplimiento de los objetivos del proceso.</t>
  </si>
  <si>
    <t>F6. Fortalecimiento de los funcionarios a nivel académico (perfil profesional).</t>
  </si>
  <si>
    <t>F9. Roles, responsabilidades y autoridades  establecidas en resolución rectoral 027 de 2020  para  SG-SST.</t>
  </si>
  <si>
    <t>F10. Se cuenta con una planificación de actividades a realizar durante el semestre.</t>
  </si>
  <si>
    <t>F11. Se cuenta con alianzas estratégicas de empresa y instituciones académicas para el desarrollo de las actividades del SG-SST.</t>
  </si>
  <si>
    <t xml:space="preserve">F12. Contar con un rubro presupuestal independiente. </t>
  </si>
  <si>
    <t>F13. Promover la gestión del conocimiento del SG-SST mediante el requisito de realización del curso virtual de 50 horas para el personal contratado en la Universidad de Cundinamarca.</t>
  </si>
  <si>
    <t>F14. Implementación del SG-SST en un 97% según Resolución 0312 de 2019 dando cumplimiento al Decreto 1072 de 2015.</t>
  </si>
  <si>
    <t>F15. Realización de reuniones frecuentes y pronto tratamiento de los casos reportados  - comité de convivencia laboral.</t>
  </si>
  <si>
    <t>F16. Campañas de comunicación relacionadas al SG SST con apoyo del proceso de comunicaciones de la Universidad de  Cundinamarca.</t>
  </si>
  <si>
    <t>F27. Selección de proveedores con implementación del SG-SST igual o superior a 86% según estándares de la Resolución 0312 de 2019.</t>
  </si>
  <si>
    <t>F4 Bolsa de empleo</t>
  </si>
  <si>
    <t>F5. Pertenecer a red SEIS(Red de las oficinas de egresados de las instituciones de educación superior).</t>
  </si>
  <si>
    <t>F6. Efectividad en el relacionamiento y oportunidad en la atención y respuesta a las necesidades de los graduados.</t>
  </si>
  <si>
    <t>F7. Se tiene en cuenta la disposición de monitores para el apoyo de actividades propias del proceso</t>
  </si>
  <si>
    <t>F8. Reconocimiento a los graduados exitosos a nivel nacional o internacional.</t>
  </si>
  <si>
    <t>F9. Mediante los campos de aprendizaje cultural se amplia la interacción de los graduados con la Universidad de Cundinamarca.</t>
  </si>
  <si>
    <t>F10. Realizar Convenios que beneficien al graduado y fortalezcan el crecimiento profesional y personal.</t>
  </si>
  <si>
    <t>F11. Los graduados cuentas con un carnet y correo electrónico Institucional vitalicio  el cual les permite el ingreso a las instalaciones de la universidad en sede seccionales y extensiones y el uso gratuita de biblioteca y gimnasio.</t>
  </si>
  <si>
    <t xml:space="preserve">F12. Contar con la política de graduados que contiene los criterios para la ejecución de actividades, estrategias, programas y proyectos para el estamento de graduados.  </t>
  </si>
  <si>
    <t>F13. Jornadas de preparación al mercado laboral, capacitación y fortalecimiento de habilidades blandas y transversales, talleres de ética profesional, tramite de tarjeta profesional y congreso anual de graduados en áreas de emprendimiento e innovacion.Encuentro deportivo y cultural de graduado.</t>
  </si>
  <si>
    <t xml:space="preserve">F14. Se cuenta con un periódico digital de graduados el cual circula semestralmente. </t>
  </si>
  <si>
    <t xml:space="preserve">F15. Contar con asignación presupuestal para la ejecución de los proyectos de inversión </t>
  </si>
  <si>
    <t xml:space="preserve">F3. Planificación de actividades para los Graduados. </t>
  </si>
  <si>
    <t>AMENAZA</t>
  </si>
  <si>
    <t xml:space="preserve">A1. Ley de garantías </t>
  </si>
  <si>
    <t xml:space="preserve">LEGAL </t>
  </si>
  <si>
    <t>MERCADO</t>
  </si>
  <si>
    <t>RECONOCIMIENTO</t>
  </si>
  <si>
    <t>POLÍTICO</t>
  </si>
  <si>
    <t xml:space="preserve">INFLUENCIA </t>
  </si>
  <si>
    <t>CONFIABILIDAD</t>
  </si>
  <si>
    <t>A3. Desconocimiento de las entidades públicas al respecto de la Dirección de Proyectos Especiales de la Universidad.</t>
  </si>
  <si>
    <t>A4. Dependencia de la aprobación de Planes de Desarrollo a nivel departamental.</t>
  </si>
  <si>
    <t>A5. Cambios administrativos en las entidades con las cuales se suscriben los contratos.</t>
  </si>
  <si>
    <t>A6. Deterioro de la imagen de la Universidad de Cundinamarca.</t>
  </si>
  <si>
    <t xml:space="preserve">A7. No poder realizar gestión comercial para suscribir Convenios y/o Contratos, debido a la actual situación de pandemia que se esta viviendo a nivel mundial. </t>
  </si>
  <si>
    <t>A2. Universidades competidoras con mayor trayectoria y experiencia en modelos de contratación por medio de licitaciones.</t>
  </si>
  <si>
    <t>A1. La ejecución de las actividades del proceso pueden verse afectadas con la ocurrencia de desastres, fenómenos naturales y/o situaciones de afectación nacional.</t>
  </si>
  <si>
    <t>AMBIENTAL</t>
  </si>
  <si>
    <t xml:space="preserve">CLIMA </t>
  </si>
  <si>
    <t>A2. Cambios en la Normatividad regulatoria del sector</t>
  </si>
  <si>
    <t>A3. Se presentan casos de vandalismo y delincuencia que alteran el orden público afectando el desarrollo de las actividades.</t>
  </si>
  <si>
    <t>SOCIAL</t>
  </si>
  <si>
    <t>SEGURIDAD</t>
  </si>
  <si>
    <t>A4. Asignación de recursos públicos del Sistema General de Regalías y de participación para Universidades Públicas y Privadas en igualdad de condiciones</t>
  </si>
  <si>
    <t xml:space="preserve">ECONÓMICO </t>
  </si>
  <si>
    <t xml:space="preserve">INVERSIÓN </t>
  </si>
  <si>
    <t>A5. Recursos Financieros insuficientes para satisfacer las necesidades de la Institución</t>
  </si>
  <si>
    <t>A6. Falta de Articulación de los procesos frente a las funciones y metas propias de cada área.</t>
  </si>
  <si>
    <t>A7. Las modalidades de Contratación con las que cuenta la Institución, impiden que se realicen procesos de capacitación e inducción a los funcionarios para el desarrollo de sus competencias laborales.</t>
  </si>
  <si>
    <t>NECESIDADES</t>
  </si>
  <si>
    <t>A3. Se presentan casos de vandalismo y delincuencia que alteran el orden público o que atenten a la Institucionalidad, afectando el desarrollo de las actividades.</t>
  </si>
  <si>
    <t>A8. Inconvenientes en la suscripción de la Contratación de acuerdo a las necesidades del proceso, con ocasión de la entrada en vigor de la Ley de Garantías Electorales</t>
  </si>
  <si>
    <t>ECONÓMICO</t>
  </si>
  <si>
    <t xml:space="preserve">LINEAMIENTOS </t>
  </si>
  <si>
    <t>CULTURA</t>
  </si>
  <si>
    <t>A1. Variación acelerada de las tendencias en los recursos de apoyo de la educación superior (Característica 26 - Lineamiento CNA).</t>
  </si>
  <si>
    <t xml:space="preserve">A2. Brote de enfermedades de control oficial. </t>
  </si>
  <si>
    <t>A3. Asonadas, paros estudiantiles.</t>
  </si>
  <si>
    <t>A4. la asignación  presupuestal por parte del gobierno es insuficiente y los tiempos no son acordes para el cumplimiento de las actividades del proceso</t>
  </si>
  <si>
    <t>A5. Se crean grupos sociales que emiten información falsa sobre la universidad.</t>
  </si>
  <si>
    <t xml:space="preserve">A6. No hay una clara interpretación y direccionamiento de los requisitos legales. </t>
  </si>
  <si>
    <t xml:space="preserve">A7. Insuficiencia en el mercado de audiolibros y libros de cecografía para dotación de las bibliotecas. </t>
  </si>
  <si>
    <t>A8. Actualización constante en relación a los lineamientos gubernamentales en atención a la emergencia sanitaria (COVID 19)</t>
  </si>
  <si>
    <t>A9. Falta de disponibilidad de los recursos electrónicos   EzProxy (software autenticación para ingreso de base de datos) Koha (sistema de gestión bibliotecario  -préstamo y catalogación) - Dspace (Repositorio institucional)) ofertados por un tercero por causa de demoras en la contratación o fallas en el sistema de los mismos</t>
  </si>
  <si>
    <t>TECNOLÓGICO</t>
  </si>
  <si>
    <t>ACCESIBILIDAD</t>
  </si>
  <si>
    <t>A1. Brote de enfermedades de control oficial. (COVID-19)</t>
  </si>
  <si>
    <t>A2. Asonadas, paros estudiantiles que pueden causar la perdida de equipos.</t>
  </si>
  <si>
    <t>A3. La asignación  presupuestal por parte del gobierno es insuficiente y los tiempos no son acordes para el cumplimiento de las actividades del proceso</t>
  </si>
  <si>
    <t>A4. Se crean grupos sociales que emiten información falsa sobre la universidad.</t>
  </si>
  <si>
    <t xml:space="preserve">A5. No hay una claro direccionamiento de los requisitos normativos y legales. </t>
  </si>
  <si>
    <t xml:space="preserve">A6. Insuficiencia en el mercado de elementos audiolibros y libros de cecografía para dotación de las bibliotecas. </t>
  </si>
  <si>
    <t>A7. Actualización constante en relación a los lineamientos gubernamentales en atención a la emergencia sanitaria (COVID 19)</t>
  </si>
  <si>
    <t>A8. Falta de disponibilidad de los recursos electrónicos   EzProxy (software autenticación para ingreso de base de datos) Koha (sistema de gestión bibliotecario  -préstamo y catalogación) - Dspace (Repositorio institucional)) ofertados por un tercero por causa de demoras en la contratación o fallas en el sistema de los mismos</t>
  </si>
  <si>
    <t>A9. Ley de garantías a finales del IIPA 2021 y a principios del IPA 2022.</t>
  </si>
  <si>
    <t>OFERTA</t>
  </si>
  <si>
    <t>A4. Realización de actividades de terceros que puedan afectar el cumplimiento de los objetivos que realiza el proceso</t>
  </si>
  <si>
    <t>A5. Falta de información y aplicación por parte de los Coordinadores de Programa de los formatos de seguimiento</t>
  </si>
  <si>
    <t>A1. Posible incumplimiento de compromisos con  las partes interesadas</t>
  </si>
  <si>
    <t>A2. El modelo y los tiempos de contratación de la Universidad son ineficientes, extensos y dispendiosos afectando la continuidad  de los procesos.</t>
  </si>
  <si>
    <t>A3. Estudiantes que realizan pasantías y/o practicas sin el cumplimiento de los requisitos establecidos por Interacción Social Universitaria</t>
  </si>
  <si>
    <t>A5. Imposibilidad de suscribir Contratación Directa para las necesidades del proceso, con ocasión de la entrada en vigor de la Ley de Garantías Electorales</t>
  </si>
  <si>
    <t>A1  Tiempos de aplicación de las políticas del Ministerio de Educación.</t>
  </si>
  <si>
    <t>A2 Disminución de la transferencia económica del departamento y de la Nación</t>
  </si>
  <si>
    <t>SEGURIDAD DE LA INFORMACIÓN</t>
  </si>
  <si>
    <t xml:space="preserve">
A10. Actualización de contenidos normativos o legales en los cursos vigentes</t>
  </si>
  <si>
    <t>A3. La ubicación geográfica de algunas sedes no facilita la consecución de docentes requeridos para los núcleos temáticos (disciplinariedad - condiciones de formación posgradual)</t>
  </si>
  <si>
    <t>A4. Condiciones de contratación en el medio teniendo en cuenta la naturaleza y el programa</t>
  </si>
  <si>
    <t>A5. No se garantizan las competencias alcanzadas en la educación media como línea base para el ingreso de los estudiantes a la educación superior</t>
  </si>
  <si>
    <t>A6. Situaciones de orden público y catástrofes naturales</t>
  </si>
  <si>
    <t>A7. Ataques a la infraestructura tecnológica</t>
  </si>
  <si>
    <t xml:space="preserve">
A8. Actualización de contenidos normativos o legales en los cursos vigentes</t>
  </si>
  <si>
    <t>A9. Posible incumplimiento de las directrices internas y externas frente a derechos de autor</t>
  </si>
  <si>
    <t>A10. Intermitencias en la conectividad de internet para el desarrollo de las actividades</t>
  </si>
  <si>
    <t>A11. Actualización en la normatividad vigente</t>
  </si>
  <si>
    <t>A12. Cumplimiento de la normatividad nacional, departamental, local e interna por declaración de calamidad pública</t>
  </si>
  <si>
    <t>A13. Celebración indebida de contratos sin el cumplimiento de los requisitos legales establecidos en el manual de contratación</t>
  </si>
  <si>
    <t>A14. Situaciones de fuerza mayor o caso fortuito que impidan la normal ejecución del contrato</t>
  </si>
  <si>
    <t>A15. Incumplimiento de las obligaciones contractuales (etapa contractual y postcontractual)</t>
  </si>
  <si>
    <t>A16. No logro de la meta financiera propuesta</t>
  </si>
  <si>
    <t>A17. Entidades de carácter público y privado que presten servicios similares a los que brinda el CAD</t>
  </si>
  <si>
    <t>A18. Falta de estrategias de manejo ambiental dentro del centro académico y deportivo</t>
  </si>
  <si>
    <t>A19. Condiciones climáticas desfavorables para la venta de servicios y desarrollo académico</t>
  </si>
  <si>
    <t>A20. Alteración del orden público a nivel estudiantil</t>
  </si>
  <si>
    <t xml:space="preserve">A3. Afectaciones por las disposiciones del gobierno nacional que pueden afectar la operación (Ejemplo: procesos electorales, orden publico, alertas de entes de control etc.)
</t>
  </si>
  <si>
    <t>A4. No se garantizan las competencias alcanzadas en la educación media como línea base para el ingreso de los estudiantes a la educación superior</t>
  </si>
  <si>
    <t>A5. Situaciones de orden público y catástrofes naturales</t>
  </si>
  <si>
    <t>A6. Actualización en la normatividad vigente</t>
  </si>
  <si>
    <t>A7. Cumplimiento de la normatividad nacional, departamental, local e interna por declaración de calamidad pública</t>
  </si>
  <si>
    <t>A8. Situaciones de fuerza mayor o caso fortuito que impidan la ejecución presupuestal del proceso</t>
  </si>
  <si>
    <t>A9. Ataques a la infraestructura tecnológica</t>
  </si>
  <si>
    <t>A11. Posible incumplimiento de las directrices internas y externas frente a derechos de autor</t>
  </si>
  <si>
    <t>A12. Intermitencias en la conectividad de internet para el desarrollo de las actividades</t>
  </si>
  <si>
    <t>A13. No logro de la meta financiera propuesta</t>
  </si>
  <si>
    <t>A14. Entidades de carácter público y privado que presten servicios similares a los que brinda el CAD</t>
  </si>
  <si>
    <t>A15. Falta de estrategias de manejo ambiental dentro del centro académico y deportivo</t>
  </si>
  <si>
    <t>A16. Condiciones climáticas desfavorables para la venta de servicios y desarrollo académico</t>
  </si>
  <si>
    <t xml:space="preserve">A1. Los  cambios de políticas gubernamentales Nacionales e Internacionales podrían afectar los procesos de Movilidad. </t>
  </si>
  <si>
    <t>A2. Los fenómenos naturales, las enfermedades que afectan la salud pública y la declaración de estado de emergencias Nacionales e Internacionales, intervienen en los procesos de Movilidad.</t>
  </si>
  <si>
    <t xml:space="preserve">A3. Asumir proceso de transferencia internacional de datos sin articulación con el sistema de Seguridad de la información. </t>
  </si>
  <si>
    <t>A4. Falta de opciones de enseñanza - aprendizaje en otros idiomas diferentes al inglés, que faciliten los procesos de multilingüismo y transculturalidad mediado por el centro de Idiomas.</t>
  </si>
  <si>
    <t xml:space="preserve">A5. Falta articulación con el proceso de Ciencia, Tecnología e Innovación para la articulación y dinamizar la investigación conjunta. </t>
  </si>
  <si>
    <t xml:space="preserve">A6. Vigencia de Ley de garantías </t>
  </si>
  <si>
    <t>DEMANDA</t>
  </si>
  <si>
    <t>A1. Imprudencia y falta de Autocuidado en la Comunidad Universitaria.</t>
  </si>
  <si>
    <t>A2. Falta de Articulación con otros procesos misionales, con el fin de fortalecer la permanencia de los estudiantes (Consejerías, Monitorias de Nivelación, entre otros)</t>
  </si>
  <si>
    <t>AVANCES</t>
  </si>
  <si>
    <t>MEDIOS DE COMUNICACIÓN</t>
  </si>
  <si>
    <t>A3. Condiciones económicas e intrafamiliares que afectan a los estudiantes</t>
  </si>
  <si>
    <t>A4. Falta por parte de la Institución, aplicar algún modelo que permita incluir a contratistas en los procesos de formación</t>
  </si>
  <si>
    <t>A5. La asignación presupuestal transferida por parte del municipio, departamento y/o nación no es suficiente para atender las necesidades de la institución.</t>
  </si>
  <si>
    <t>A6. Se presentan casos de vandalismo y delincuencia que alteran el orden público afectando el desarrollo de las actividades.</t>
  </si>
  <si>
    <t xml:space="preserve">A7. Se crean grupos en redes sociales emitiendo información no válida  sobre la Institución. </t>
  </si>
  <si>
    <t>A9. Falta la ejecución de mantenimiento preventivo y/o correctivo de los elementos con los que cuenta el proceso.</t>
  </si>
  <si>
    <t>A10. La falta de cumplimiento contractual o de la normatividad vigente por parte de algunos proveedores que prestan el servicio en los programas socio - económicos</t>
  </si>
  <si>
    <t>A11. Desconocimiento de las actividades que desarrolla Bienestar</t>
  </si>
  <si>
    <t>A12. Estigmatización a los servicios de Programas socioeconómicos por parte de los estudiantes.</t>
  </si>
  <si>
    <t>A13. Falta de interés por parte de administrativos y docentes a las actividades que desarrolla bienestar</t>
  </si>
  <si>
    <t>A5. Se presentan casos de vandalismo y delincuencia que alteran el orden público afectando el desarrollo de las actividades.</t>
  </si>
  <si>
    <t>A6.  La ejecución de las actividades del proceso pueden verse afectadas con la ocurrencia de desastres, fenómenos naturales, situaciones de emergencia y/o situaciones de orden público.</t>
  </si>
  <si>
    <t>A7. La falta de cumplimiento contractual o de la normatividad vigente por parte de algunos proveedores que prestan el servicio en los programas socio - económicos</t>
  </si>
  <si>
    <t>A8. Falta de interés por parte de administrativos y docentes a las actividades que desarrolla bienestar</t>
  </si>
  <si>
    <t>A9. Imposibilidad de suscribir Contratación Directa para las necesidades del proceso, con ocasión de la entrada en vigor de la Ley de Garantías Electorales</t>
  </si>
  <si>
    <t>A10. Desconocimiento de las actividades que desarrolla bienestar</t>
  </si>
  <si>
    <t>A1. Catástrofes naturales.</t>
  </si>
  <si>
    <t xml:space="preserve">A2. Hackers Informáticos externos. </t>
  </si>
  <si>
    <t xml:space="preserve">A3. Apagones </t>
  </si>
  <si>
    <t xml:space="preserve">A4. Manipulación de la información por agentes externos, empresas que apoyan en la creación gestasoft </t>
  </si>
  <si>
    <t>A5. Situaciones de orden público</t>
  </si>
  <si>
    <t>A6. Cumplimiento de la normatividad nacional, departamental y local por declaración de calamidad pública</t>
  </si>
  <si>
    <t xml:space="preserve">A4. Manipulación de la información por agentes externos, empresas que apoyan en la creación Gestasoft </t>
  </si>
  <si>
    <t>A7. Desconocimiento de los proveedores frente a las obligaciones contractuales</t>
  </si>
  <si>
    <t>A7. Incumplimiento de las metas del plan estratégico por las restricciones que tiene la ley de garantías</t>
  </si>
  <si>
    <t>PROCESO GESTIÓN SISTEMAS INTEGRADOS</t>
  </si>
  <si>
    <t>A1. Cambios recurrentes en la legislación y normatividad</t>
  </si>
  <si>
    <t xml:space="preserve">A2. Falta de claridad en los lineamientos establecidos en la política de Educación Superior Inclusiva para la actualización de la documentación de los procesos </t>
  </si>
  <si>
    <t>A5. Dependencia de recursos tecnológicos y conectividad para la ejecución de actividades en la modalidad de trabajo en casa</t>
  </si>
  <si>
    <t>A1. Cambios recurrentes en la legislación y normatividad que implica nuevos criterios exigibles por entes de control</t>
  </si>
  <si>
    <t>A4.  La ejecución de las actividades del proceso pueden verse afectadas con la ocurrencia de desastres, fenómenos naturales y/o situaciones de afectación nacional.</t>
  </si>
  <si>
    <t>A5. Dependencia de recursos tecnológicos y conectividad para la ejecución de actividades en la modalidad de trabajo en casa y/o alternancia</t>
  </si>
  <si>
    <t>A6. Ley de Garantías Electorales</t>
  </si>
  <si>
    <t>A2. interrupción de términos que generan acumulación de actuaciones e incumplimiento normativo</t>
  </si>
  <si>
    <t>A3. Demora en las decisiones de segunda instancia.</t>
  </si>
  <si>
    <t>A1. interrupción de términos que generan acumulación de actuaciones e incumplimiento normativo</t>
  </si>
  <si>
    <t>A2. Demora en las decisiones de segunda instancia.</t>
  </si>
  <si>
    <t>A3. Riesgo en la pérdida de información reservada tanto por la ubicación geográfica como por la alta circulación de la planta administrativa y estudiantil de la Universidad de Cundinamarca.</t>
  </si>
  <si>
    <t>A4. Afectación de las actividades propias del proceso debido al cierre de las instalaciones de la Universidad por manifestaciones, marchas estudiantiles, asonadas.</t>
  </si>
  <si>
    <t>A4. Ubicación geográfica de las oficinas de la Dirección de Control Disciplinario.</t>
  </si>
  <si>
    <t>A5. Marchas y manifestaciones de forma recurrente e imprevista.</t>
  </si>
  <si>
    <t>A1. Congestión Judicial que afecta el desarrollo y los tiempos oportunos de respuesta de la Universidad frente al procedimiento AJUP05.</t>
  </si>
  <si>
    <t>A2. Actos de vandalismo y delincuencia que alteran el orden público, y situaciones de emergencia que afectan el normal desarrollo de las actividades laborales.</t>
  </si>
  <si>
    <t>A3. No hay una clara interpretación y direccionamiento de los requisitos legales por parte de los entes gubernamentales.</t>
  </si>
  <si>
    <t>A4. Cuestiones legales, sociales, económicas  y ambientales que puedan afectar la operatividad del proceso</t>
  </si>
  <si>
    <t>A3. Direferencias en la interpretación de las normativas gubernamentales</t>
  </si>
  <si>
    <t>A1 - Competencia de otras instituciones de investigación</t>
  </si>
  <si>
    <t>A2 - Escasa implicación de algunos sectores de la sociedad en los proyectos de investigación regional.</t>
  </si>
  <si>
    <t xml:space="preserve">COMPETENCIA </t>
  </si>
  <si>
    <t xml:space="preserve">A3 - Las condiciones de contratación que ofrecen otras IES (Instituciones de Educación Superior) para investigadores en la región. </t>
  </si>
  <si>
    <t>A4.  Presencia de virus ,pandemias, desastres naturales, Declaración de estado de emergencia Nacionales E Internacionales,  lo cual afecta los procesos de Investigación.</t>
  </si>
  <si>
    <t>A5. No prestación del Servicio por declaración de insolvencia del proveedor (amenaza generada por ser proveedor Único para este servicio).</t>
  </si>
  <si>
    <t>A6. Asignación de códigos DOI duplicados y/o asignado por error en otras publicaciones periódicas y No periódicas.</t>
  </si>
  <si>
    <t>A7. Pérdida de la información al generar actualizaciones al sistema de revistas electrónicas OJS.</t>
  </si>
  <si>
    <t xml:space="preserve">A9. El instrumento medición deja de funcionar o presenta fallas durante el desarrollo de las actividades en los proyectos de investigación. </t>
  </si>
  <si>
    <t>A1 - Escasa implicación de algunos sectores de la sociedad en los proyectos de investigación regional.</t>
  </si>
  <si>
    <t xml:space="preserve">A2. Las condiciones de contratación que ofrecen otras IES (Instituciones de Educación Superior) para investigadores en la región. </t>
  </si>
  <si>
    <t>A3. Presencia de virus ,pandemias, desastres naturales, Declaración de estado de emergencia Nacionales E Internacionales,  lo cual afecta los procesos de Investigación.</t>
  </si>
  <si>
    <t>A4. No prestación del Servicio por declaración de insolvencia del proveedor (amenaza generada por ser proveedor Único para este servicio).</t>
  </si>
  <si>
    <t>A5. Asignación de códigos DOI duplicados y/o asignado por error en otras publicaciones periódicas y No periódicas.</t>
  </si>
  <si>
    <t xml:space="preserve">A6. Pérdida de la información al generar actualizaciones al sistema de revistas electrónicas OJS por proveedor externo. </t>
  </si>
  <si>
    <t xml:space="preserve">A7. Información errónea y/o incompleta en los certificados de calibración e informes de mantenimiento emitidos por el proveedor externo que realice dichos trabajos a los equipos de medición a usarse en los proyectos de investigación. </t>
  </si>
  <si>
    <t xml:space="preserve">A8. El instrumento medición deja de funcionar o presenta fallas durante el desarrollo de las actividades en los proyectos de investigación, cuando el instrumento se encuentra inmerso en calidad de garantía de mantenimiento por un proveedor externo. </t>
  </si>
  <si>
    <t>A9. Vigencia de Ley de garantías.</t>
  </si>
  <si>
    <t>A1. No Giro oportuno de las entidades externas de los aportes ordinarios y aportes con destinación especifica a la Universidad de Cundinamarca.</t>
  </si>
  <si>
    <t>A2. No tramite oportuno para el giro de las transferencias de recursos provenientes del Fondo de extensión y proyectos especiales, Fondo Académico y Centro Académico Deportivo CAD a la Universidad de Cundinamarca.</t>
  </si>
  <si>
    <t>CARTERA</t>
  </si>
  <si>
    <t>A3. Incumplimiento por parte de los estudiantes en el pago de matrículas fraccionadas.</t>
  </si>
  <si>
    <t>A5. Duplicidad en la solicitud de tramite para devolución de matricula.</t>
  </si>
  <si>
    <t>A4. Presencia de virus ,pandemias, desastres naturales, Declaración de estado de emergencia nacionales E internacionales, paros, bloqueos y/o asonadas, pueden afectar la prestación del servicio.</t>
  </si>
  <si>
    <t>A6. Conflictos por   interpretación y aplicación  de normas transitorias emitidas por contingencias  con efecto de aplicación inmediata..</t>
  </si>
  <si>
    <t>A7.Algunas partes interesadas no cuentan con mecanismos digitales para que la Universidad le realice los pagos.</t>
  </si>
  <si>
    <t>A8. Demoras en los pagos mediante la prestación del servicio desde trabajo en casa por fallas de  factores externos tales como ( fallas en:  Internet, portales bancarios, fluido eléctrico).</t>
  </si>
  <si>
    <t>A2. Falta trámite oportuno para el ingreso de los recursos de los diferentes entes externos (convenios o contratos) que aseguren la transferencia de recurso para los Fondos de Extensión y proyectos especiales, Fondo Académico y Centro Académico Deportivo CAD a la Universidad de Cundinamarca.</t>
  </si>
  <si>
    <t>A3. Incumplimiento por parte de los estudiantes en el pago de matrícula fraccionada.</t>
  </si>
  <si>
    <t>A4. Presencia de virus, pandemias, desastres naturales, declaración de estado de emergencia nacionales e internacionales.</t>
  </si>
  <si>
    <t>A5. Conflictos por   interpretación y aplicación  de normas transitorias emitidas por contingencias  con efecto de aplicación inmediata..</t>
  </si>
  <si>
    <t>A6.Algunas partes interesadas no cuentan con mecanismos digitales para que la Universidad le realice los pagos.</t>
  </si>
  <si>
    <t>A7.Ley de garantías elección presidencial a realizarse en la vigencia 2022</t>
  </si>
  <si>
    <t>A8.  Afectación en la prestación del servicio por actividades de asonadas tales como: paros, bloqueos.</t>
  </si>
  <si>
    <t>A9. Falla de conectividad en las contingencias que se puedan llegar a presentar por eventos inesperados, los cuales puedan afectar la prestación normal del servicio, en modalidad presencial, teletrabajo o trabajo desde casa. (Equipos, Internet, software, hardware).</t>
  </si>
  <si>
    <t>A1. Asonadas por parte de los estudiantes</t>
  </si>
  <si>
    <t>A2. Desastres naturales que afecten las instalaciones de la oficina</t>
  </si>
  <si>
    <t>A3. Actualización normativa que afecte el desarrollo normal del proceso</t>
  </si>
  <si>
    <t>A4. Afectación en la prestación del servicio vía digital por fallas o daños en la red y/o sistema a nivel municipal o regional (Fallas de conectividad a causa de la modalidad trabajo en casa)</t>
  </si>
  <si>
    <t>A4. Afectación en la prestación del servicio vía digital por fallas o daños en la red y/o sistema a nivel, institucional, municipal o regional</t>
  </si>
  <si>
    <t>A1. Se presentan casos de vandalismo y delincuencia que alteran el orden público afectando el desarrollo de las actividades.</t>
  </si>
  <si>
    <t>A2.  La ejecución de las actividades del proceso pueden verse afectadas con la ocurrencia de desastres, fenómenos naturales y/o situaciones de afectación nacional.</t>
  </si>
  <si>
    <t>A3. Constantes cambios en la normatividad en materia de SST y ambiental.</t>
  </si>
  <si>
    <t>A5. Carencia de una cultura de Planeación en las actividades.</t>
  </si>
  <si>
    <t>A4. Inadecuada estructuración de los estudios previos que soportan los Procesos precontractuales .</t>
  </si>
  <si>
    <t>A6. Falta fortalecer los canales de comunicación que permitan una articulación entre los procesos.</t>
  </si>
  <si>
    <t>A7. No informar oportunamente cuando se presentan casos de perdida y/o daños de elementos devolutivos.</t>
  </si>
  <si>
    <t xml:space="preserve">A8. Incursión de Universidades extranjeras con programas de pregrado y postgrado con modalidad virtual. </t>
  </si>
  <si>
    <t>A9. Reducción del nivel de ingresos del grupo familiar lo que reduce posibilidades de acceso a educación superior.</t>
  </si>
  <si>
    <t>A11. Cambios generacionales que dan prioridad a temas diferentes del aspecto conocido como "educación formal"</t>
  </si>
  <si>
    <t>A12. Inestabilidad laboral producto de la desaceleración en la economía.</t>
  </si>
  <si>
    <t xml:space="preserve">A13. Políticas nacionales educativas. </t>
  </si>
  <si>
    <t>A14. Reducción del Presupuesto nacional destinado a las Universidades Públicas.</t>
  </si>
  <si>
    <t>A15. Carencia de una cultura de autocontrol en la custodia y manejo de la información.</t>
  </si>
  <si>
    <t>A1: Hackers informáticos</t>
  </si>
  <si>
    <t>A2: Creación de cuentas en redes sociales por parte de diferentes funcionarios, docentes, estudiantes y egresados de la Universidad, emitiendo información no validada institucionalmente y no oficial.</t>
  </si>
  <si>
    <t>A3: Inseguridad en el transporte de los equipos de producción audiovisual el cual pone en riesgo de igual manera la integridad del talento humano responsable de salvaguardar los equipos.</t>
  </si>
  <si>
    <t>A4. Paros, asonadas y bloqueos puesto que restringen la movilidad y afectan la oportunidad en tiempo para cumplimiento de cubrimientos.</t>
  </si>
  <si>
    <t>A5. Catástrofes naturales</t>
  </si>
  <si>
    <t>A6. Nuevas estrategias y modelos para la generación de contenido lo cual hace necesario implementar programas constantes de capacitación</t>
  </si>
  <si>
    <t>A7. Cumplimiento de la normatividad nacional, departamental y local por declaración de calamidad pública</t>
  </si>
  <si>
    <t>A8. Situaciones fortuitas que ocasionen el no cumplimiento del objeto contractual</t>
  </si>
  <si>
    <t>A3. Paros, asonadas y bloqueos puesto que restringen la movilidad y afectan la oportunidad en tiempo para cumplimiento de cubrimientos.</t>
  </si>
  <si>
    <t>A4. Catástrofes naturales</t>
  </si>
  <si>
    <t>A5. Nuevas estrategias y modelos para la generación de contenido lo cual hace necesario implementar programas constantes de capacitación</t>
  </si>
  <si>
    <t>A7. Situaciones fortuitas que ocasionen el no cumplimiento de las contrataciones previstas para la operación de la oficina asesora de comunicaciones (Ley de garantías)</t>
  </si>
  <si>
    <t>ENTES DE CONTROL</t>
  </si>
  <si>
    <t>A1. Hackers informáticos.</t>
  </si>
  <si>
    <t xml:space="preserve">A2. Sanciones  o multas por incumplimientos. </t>
  </si>
  <si>
    <t>A3. Catástrofes naturales.</t>
  </si>
  <si>
    <t>A4. Paros estudiantiles que afectan la prestación del servicio.</t>
  </si>
  <si>
    <t xml:space="preserve">A5. Afectación en la prestación normal del servicio por virus,  pandemias o asonadas. </t>
  </si>
  <si>
    <t>A6. Fallas tecnológicas o de conectividad que afectan la comunicación del proceso.</t>
  </si>
  <si>
    <t xml:space="preserve">A5. Afectación en la prestación normal del servicio por virus, pandemias. </t>
  </si>
  <si>
    <t>LEGAL</t>
  </si>
  <si>
    <t>A1. Desconocimiento de la Normatividad Legal vigente.</t>
  </si>
  <si>
    <t>A2. Acceso fraudulento a sistemas informáticos de la Institución</t>
  </si>
  <si>
    <t>A3. Mal uso de los servicios o recursos tecnológicos por parte de los usuarios finales.</t>
  </si>
  <si>
    <t>A4. Se presentan casos de vandalismo y delincuencia que alteran el orden público afectando el desarrollo de las actividades.</t>
  </si>
  <si>
    <t>A5.  La ejecución de las actividades del proceso pueden verse afectadas con la ocurrencia de desastres, fenómenos naturales y/o situaciones de afectación nacional.</t>
  </si>
  <si>
    <t>A6. Ataques informáticos a la Infraestructura Tecnológica</t>
  </si>
  <si>
    <t>A7. Acceso Físicos a Centros de Datos sin los controles Adecuados Requeridos.</t>
  </si>
  <si>
    <t xml:space="preserve">A1. Amenazas a la seguridad informática de la institución, sus recursos y servicios informáticos. </t>
  </si>
  <si>
    <t>A2. Mal uso de los servicios o recursos tecnológicos por parte de los usuarios finales.</t>
  </si>
  <si>
    <t xml:space="preserve">A1. Hackers y virus informáticos </t>
  </si>
  <si>
    <t>A2. Actualizaciones en plataforma del ICFES</t>
  </si>
  <si>
    <t>A3. Falta de interés por parte del aspirante en consultar el Instructivo en el portal web.</t>
  </si>
  <si>
    <t>A4. Fenómenos naturales como inundaciones e incendios</t>
  </si>
  <si>
    <t>A5. Paros Estudiantiles (Daños a la infraestructura y al personal de la oficina por manifestaciones de la comunidad universitaria y la comunidad en general)</t>
  </si>
  <si>
    <t>A6. El modelo y los tiempos de contratación de la universidad son dispendiosos.</t>
  </si>
  <si>
    <t>A7. Grupos sociales que emiten información falsa sobre la universidad.</t>
  </si>
  <si>
    <t>A8. Emergencia sanitaria a causa patógena (COVID-19)</t>
  </si>
  <si>
    <t>A9. Daños a la infraestructura y al personal de la oficina por manifestaciones de la comunidad universitaria y la comunidad en general</t>
  </si>
  <si>
    <t>A2. Falta de interés por parte del aspirante en consultar el Instructivo en el portal web.</t>
  </si>
  <si>
    <t>A3. Fenómenos naturales como inundaciones e incendios</t>
  </si>
  <si>
    <t>A4. Paros Estudiantiles (Daños a la infraestructura y al personal de la oficina por manifestaciones de la comunidad universitaria y la comunidad en general)</t>
  </si>
  <si>
    <t>A5. Grupos sociales que emiten información falsa sobre la universidad.</t>
  </si>
  <si>
    <t>A6. Ley de garantías a finales del IIPA 2021 y a principios del IPA 2022.</t>
  </si>
  <si>
    <t>A1. Manejo inadecuado de la información por personal diferente a los funcionarios de Talento Humano.</t>
  </si>
  <si>
    <t>A2. Constantes cambios en la legislación relacionada a la gestión del talento humano</t>
  </si>
  <si>
    <t>A3. Fenómenos naturales o causados por el hombre como inundaciones, incendios, manifestaciones, entre otros</t>
  </si>
  <si>
    <t>A4. Falsedad en documentos entregados por parte de los funcionarios, como requisitos de contratación.</t>
  </si>
  <si>
    <t>A5. Falta de información oportuna de las EPS, en relación con los pagos de incapacidades.</t>
  </si>
  <si>
    <t>A6. Rotación  constante de personal  en los diferentes procesos</t>
  </si>
  <si>
    <t xml:space="preserve">A7. Sanciones o demandas por incumplimiento legal </t>
  </si>
  <si>
    <t xml:space="preserve">A8. Incumplimiento en los tiempos de ejecución y calidad del servicio prestado por el  proveedor contratado. </t>
  </si>
  <si>
    <t>A9. Afectación a la salud y la prestación del servicio por virus o pandemias que generen cambios repentinos en las modalidades convencionales de trabajo.</t>
  </si>
  <si>
    <t>A3. Fenómenos naturales o causados por el hombre como inundaciones, incendios, manifestaciones, entre otros.</t>
  </si>
  <si>
    <t>A1. Manejo inadecuado de la información por personal diferente a los funcionarios del SG-SST.</t>
  </si>
  <si>
    <t>A2. Constantes cambios en la legislación relacionada al SG-SST.</t>
  </si>
  <si>
    <t>A4. Rotación  constante de personal  en los diferentes procesos.</t>
  </si>
  <si>
    <t>A5. Sanciones o demandas por incumplimiento legal.</t>
  </si>
  <si>
    <t xml:space="preserve">A6. Incumplimiento en los tiempos de ejecución y calidad del servicio prestado por el  proveedor contratado. </t>
  </si>
  <si>
    <t>A7. Afectación a la salud y la prestación del servicio por virus o pandemias que generen cambios repentinos en las modalidades convencionales de trabajo.</t>
  </si>
  <si>
    <t xml:space="preserve">A1. Manejo inadecuado de la información por personal diferente a los funcionarios del SG-SST.(Proveedores que manejan historias clínicas y exámenes médicos) </t>
  </si>
  <si>
    <t xml:space="preserve">A4. Incumplimiento en los tiempos de ejecución y calidad del servicio prestado por el  proveedor contratado. </t>
  </si>
  <si>
    <t>A5. Afectación a la salud y la prestación del servicio por virus o pandemias que generen cambios repentinos en las modalidades convencionales de trabajo.</t>
  </si>
  <si>
    <t xml:space="preserve">A6. Periodo de  Ley de garantías que afecta la contratación directa y de personal. </t>
  </si>
  <si>
    <t xml:space="preserve">A7. Afectación física  o a la salud por eventos catastróficos relacionas con las actividades económicas  realizadas por los colindantes. </t>
  </si>
  <si>
    <t>A7. Habeas Data</t>
  </si>
  <si>
    <t>A1. Ofertas laborales que no cumplen con las expectativas de los graduados.</t>
  </si>
  <si>
    <t xml:space="preserve">A2. Ley de Garantías </t>
  </si>
  <si>
    <t>A3. Recorte de presupuesto por parte del estado hacia la Universidad</t>
  </si>
  <si>
    <t>A4. Hackers informáticos</t>
  </si>
  <si>
    <t>A5. Cancelación de los eventos dirigidos a graduados por posibles afectaciones a la  salud o epidemiológicos.</t>
  </si>
  <si>
    <t>A6. Habeas Data</t>
  </si>
  <si>
    <t xml:space="preserve">A7. Afectación en la prestación del servicio debido a paros o asonadas. </t>
  </si>
  <si>
    <t>A1. Cumplimiento de la normatividad nacional, departamental y local por declaración de calamidad pública</t>
  </si>
  <si>
    <t>A2. Actualización en normatividad por parte del Ministerio de Educación Nacional y/o el Consejo Nacional de Acreditación</t>
  </si>
  <si>
    <t>OPORTUNIDAD</t>
  </si>
  <si>
    <t>O3. Establecer mecanismos para promover la participación de estudiantes y docentes internacionales en los procesos académicos de la Universidad de Cundinamarca.</t>
  </si>
  <si>
    <t>O4. Aliados estratégicos nacionales e internacionales interesados en programas de doble titulación.</t>
  </si>
  <si>
    <t>O5. Generar estrategias de cooperación con el proceso de Bienestar universitario y las facultades que permitieron realizar acompañamientos y seguimientos a los intercambistas.</t>
  </si>
  <si>
    <t>O1. Participar activamente en programas de movilidad a nivel bilateral, multilateral y del sector privado.</t>
  </si>
  <si>
    <t>O2. Invitaciones de las IES extranjeras, para obtener reconocimiento académico a nivel de la comunidad internacional.</t>
  </si>
  <si>
    <t xml:space="preserve">OFERTA </t>
  </si>
  <si>
    <t xml:space="preserve">NECESIDADES </t>
  </si>
  <si>
    <t>O6. Generación de talleres, Webinars, espacios virtuales con temas de interés para la comunidad académica en general en diferentes idiomas, haciendo uso de las TICs.</t>
  </si>
  <si>
    <t>O1: Plataforma tecnológica del SACES - CNA</t>
  </si>
  <si>
    <t>O2: Documentos externos que soportan los procesos de registro calificado, condiciones iniciales de acreditación de programas, ejercicios de autoevaluación (Normas, Guías)</t>
  </si>
  <si>
    <t>LINEAMIENTOS</t>
  </si>
  <si>
    <t xml:space="preserve">O3. Diseño del aplicativo Sistema de Aseguramiento de la Calidad de la Educación Superior - SACES institucional </t>
  </si>
  <si>
    <t>O4. Implementación del nuevo modelo de acreditación en la institución</t>
  </si>
  <si>
    <t>O5. Acreditación de los programas académicos en sede, seccionales y extensiones</t>
  </si>
  <si>
    <t>O6. Ampliación de los tiempos para el desarrollo de los planes de mejoramiento producto de la autoevaluación</t>
  </si>
  <si>
    <t>O3. Diseño del aplicativo analítica de seguimiento proceso de autoevaluación</t>
  </si>
  <si>
    <t>O6. Incrementar el porcentaje de participación de la comunidad académica en los procesos de autoevaluación y las encuestas de percepción</t>
  </si>
  <si>
    <t>O1. Masificación del uso de las redes sociales.</t>
  </si>
  <si>
    <t>O2. Sistema General de Regalías en el sector público.</t>
  </si>
  <si>
    <t>O2. Amplio mercado de entidades públicas para la búsqueda de celebración de contratos.</t>
  </si>
  <si>
    <t>O3. Políticas y beneficios para el tema de posconflicto establecidas por el gobierno.</t>
  </si>
  <si>
    <t>O4. Amplio mercado de entidades públicas para la búsqueda de celebración de contratos.</t>
  </si>
  <si>
    <t>O1. Inversión Pública y Privada para emprender convenios, proyectos de Investigación, Desarrollo, Innovación y Postconflicto</t>
  </si>
  <si>
    <t>O2. Cooperación Interinstitucional con Gobierno, Ministerio, Función Pública y Entidades Públicas y Privadas</t>
  </si>
  <si>
    <t>O4. La implementación y articulación de políticas misionales encaminadas al desarrollo institucional (Ciencia, Tecnología e Investigación, Dialogando con el Mundo, Interacción Social Universitaria, Inclusión entre otras)</t>
  </si>
  <si>
    <t>O3. Posibilidad de crear y fortalecer nuevas alianzas estratégicas con instituciones de educación superior.</t>
  </si>
  <si>
    <t>O1. Demanda de profesionales en la región.</t>
  </si>
  <si>
    <t>O2 Demanda de programas de postgrado virtuales</t>
  </si>
  <si>
    <t xml:space="preserve">O5 Ubicación estratégica de la Universidad en la región </t>
  </si>
  <si>
    <t xml:space="preserve">O6. Alta demanda de graduados para la oferta de posgrados </t>
  </si>
  <si>
    <t>O7. Alta posibilidad de alianzas estratégicas - convenios interinstitucionales e internacionales</t>
  </si>
  <si>
    <t>O8. Disponibilidad y cualificación en el uso y apropiación de tecnologías.</t>
  </si>
  <si>
    <t>O9. Actualización e implementación de normatividad legal aplicable</t>
  </si>
  <si>
    <t>O11. Cumplimiento de la promesa de valor de la Universidad</t>
  </si>
  <si>
    <t>O3. Normatividad establecida para la acreditación de programas académicos e institucional</t>
  </si>
  <si>
    <t>O4. Dimensión naturaleza en el despliegue del MEDIT
Disponibilidad, necesidad de conservación y uso de recursos naturales</t>
  </si>
  <si>
    <t>O10. Proyección de nueva oferta académica para la sedes y seccionales</t>
  </si>
  <si>
    <t>O13. Examen clasificatorio de Inglés para profesores (Placement test UCundinamarca Professors) y estudiantes (Placement test) (Marco Común Europeo)</t>
  </si>
  <si>
    <t>O14.Implementación de estrategias que motiven a los estudiantes en el proceso de aprendizaje de la segunda lengua en los programas de pregrado y postgrados</t>
  </si>
  <si>
    <t>O15. Implementar un proceso a través de plataforma para poder presentar el examen de suficiencia de ingles (Postgrados)</t>
  </si>
  <si>
    <t>O16. Contar con recursos para el fortalecimiento del marketing digital en programas de postgrado</t>
  </si>
  <si>
    <t>O17. Implementación de la estrategia aseguramiento del aprendizaje 
(Acuerdo consejo académico 07 de 2020)</t>
  </si>
  <si>
    <t>O18. Proyección del CAD y del club deportivo como centro de desarrollo deportivo a nivel nacional</t>
  </si>
  <si>
    <t>O19. Creación de nuevas disciplinas de entrenamiento al interior del club deportivo</t>
  </si>
  <si>
    <t>O20. Incremento de la venta de servicios</t>
  </si>
  <si>
    <t>O21. Mejoramiento de la infraestructura</t>
  </si>
  <si>
    <t>O22. Posibilidad de generar alianzas con otras instituciones</t>
  </si>
  <si>
    <t>O23. Lograr la autorización para la realización de eventos de tipo social</t>
  </si>
  <si>
    <t>O2. Implementación de la estrategia aseguramiento del aprendizaje 
(Acuerdo consejo académico 07 de 2020)</t>
  </si>
  <si>
    <t>O6. Alta posibilidad de alianzas estratégicas - convenios interinstitucionales e internacionales</t>
  </si>
  <si>
    <t>O7. Disponibilidad y cualificación en el uso y apropiación de tecnologías.</t>
  </si>
  <si>
    <t>O8. Actualización e implementación de normatividad legal aplicable</t>
  </si>
  <si>
    <t>O9. Proyección de nueva oferta académica para las sedes y seccionales</t>
  </si>
  <si>
    <t>O10. Cumplimiento de la promesa de valor de la Universidad</t>
  </si>
  <si>
    <t>O11. Fortalecimiento de la implementación del modelo educativo digital transmoderno (Oficina de Educación Virtual y a Distancia)</t>
  </si>
  <si>
    <t xml:space="preserve">AVANCES </t>
  </si>
  <si>
    <t>O12. Examen clasificatorio de Inglés para profesores (Placement test UCundinamarca Professors) y estudiantes (Placement test) (Marco Común Europeo)</t>
  </si>
  <si>
    <t>O13.Implementación de estrategias que motiven a los estudiantes en el proceso de aprendizaje de la segunda lengua en los programas de pregrado y postgrados</t>
  </si>
  <si>
    <t>O14. Implementar un proceso a través de plataforma para poder presentar el examen de suficiencia de ingles (Postgrados)</t>
  </si>
  <si>
    <t>O15 Demanda de programas de postgrado virtuales</t>
  </si>
  <si>
    <t>O16. Alto volumen de graduados en programas de pregrado de la institución</t>
  </si>
  <si>
    <t>O17. Vinculación y participación en redes, asociaciones y/o convenios nacionales e internaciones (Posgrados)</t>
  </si>
  <si>
    <t>O24. Reconocimiento y respaldo institucional como Centro Académico Deportivo y campo de aprendizaje</t>
  </si>
  <si>
    <t>O1. Apoyo del Gobierno Local y Entes Externos en campañas de Bienestar para los estudiantes</t>
  </si>
  <si>
    <t>O2. Lineamientos de acreditación de programas e institucional, que permitan la aplicación y operación en el proceso.</t>
  </si>
  <si>
    <t>O3 . Posibilidad de crear y fortalecer nuevas alianzas y/o convenios estratégicos con empresas e instituciones de educación superior.</t>
  </si>
  <si>
    <t>O4. Estudiantes motivados a participar en las actividades suministradas por Bienestar.</t>
  </si>
  <si>
    <t>O5. Perfiles profesionales de Talento Humano enfocados a tratar temas de permanencia en los estudiantes</t>
  </si>
  <si>
    <t>O6. Plan Rectoral y Plan de Desarrollo encaminados a fortalecer la labor de Bienestar Universitario como pilar fundamental de la gestión universitaria en los próximos 4 años</t>
  </si>
  <si>
    <t>O7. Accesibilidad a capacitaciones con Entes Externos.</t>
  </si>
  <si>
    <t>O1.Apoyo del Gobierno Local y Entes Externos en programas que fortalecen la permanencia de los estudiantes.</t>
  </si>
  <si>
    <t>O3. Estudiantes motivados a participar en las actividades suministradas por Bienestar.</t>
  </si>
  <si>
    <t>O4. Perfiles profesionales de Talento Humano enfocados a tratar temas de permanencia en los estudiantes</t>
  </si>
  <si>
    <t>O5. Plan Rectoral y Plan de Desarrollo encaminados a fortalecer la labor de Bienestar Universitario como pilar fundamental de la gestión universitaria en los próximos 4 años</t>
  </si>
  <si>
    <t>O6. Accesibilidad a capacitaciones con Entes Externos.</t>
  </si>
  <si>
    <t>O1. Ley 594 de 2000 y Normas concordantes.</t>
  </si>
  <si>
    <t>O2. Mayor entrada de recursos por estampilla.</t>
  </si>
  <si>
    <t>O3. Actualización normativa.</t>
  </si>
  <si>
    <t>O4. Apropiación de Políticas de ahorro de papel.</t>
  </si>
  <si>
    <t>O5. Adquisición de nuevo equipos y aplicativos para la digitalización y conservación del archivo</t>
  </si>
  <si>
    <t>O6. Implementación de los instrumentos archivísticos</t>
  </si>
  <si>
    <t>O1. Amplia oferta de empresas consultoras</t>
  </si>
  <si>
    <t xml:space="preserve">O2. Software de SGC en el mercado </t>
  </si>
  <si>
    <t>O3. Nueva orientación de la documentación en las nuevas versiones de ISO Estructura alto nivel</t>
  </si>
  <si>
    <t>O4. Lineamientos de acreditación de programas e institucional, que permitan la aplicación y operación en el proceso.</t>
  </si>
  <si>
    <t>O5. Fortalecimiento de la inspección, vigilancia y control en Colombia.</t>
  </si>
  <si>
    <t>O1. Amplia oferta de empresas consultoras.</t>
  </si>
  <si>
    <t xml:space="preserve">O2. Software de SGC en el mercado. </t>
  </si>
  <si>
    <t>O3. Nueva orientación de la documentación en las nuevas versiones de ISO con estructura de Alto Nivel.</t>
  </si>
  <si>
    <t>O1. Accesibilidad Capacitaciones con Entes Externos</t>
  </si>
  <si>
    <t>O2. Fortalecimiento de los canales de comunicación con los Proveedores</t>
  </si>
  <si>
    <t>O3. Formulación de proyectos de inversión orientados a la eliminación de barreras arquitectónicas y otros elementos inclusivos.</t>
  </si>
  <si>
    <t>O4. Optimización del Uso de las Tecnologías de la información disponibles</t>
  </si>
  <si>
    <t>O5. Los lineamientos de acreditación pueden fortalecer aspectos como la infraestructura y la gestión administrativa de la Institución.</t>
  </si>
  <si>
    <t>O6. La normatividad legal, reglamentación interna y los tiempos de aplicación en la contratación son conocidos y ejecutados por la Institución.</t>
  </si>
  <si>
    <t>O7. Oportunidad de adquirir nuevos softwares que optimicen las actividades del proceso.</t>
  </si>
  <si>
    <t>O2. Calificación del furag.</t>
  </si>
  <si>
    <t>O3. Sistematización del procedimiento de auditoría.</t>
  </si>
  <si>
    <t>O4. Gestión de recursos mediante la asignación de caja menor al proceso.</t>
  </si>
  <si>
    <t>O5. Integralidad del plan de auditoria teniendo en cuenta seccionales y extensiones.</t>
  </si>
  <si>
    <t>O6. Acceso a las bases de datos de la universidad ( legiscol y otras )</t>
  </si>
  <si>
    <t>O7. Teletrabajo o Trabajo desde casa.</t>
  </si>
  <si>
    <t>O8. Resultados de las Auditorias de ICONTEC.</t>
  </si>
  <si>
    <t>O1. Modelo Integrado de Planeación y Gestión.</t>
  </si>
  <si>
    <t xml:space="preserve">O1 - Convocatorias externas permanentes para financiar proyectos de investigación </t>
  </si>
  <si>
    <t xml:space="preserve">O2 - Convocatorias externas para acceder a los recursos  que fortalezcan el proceso de investigación en la Universidad de Cundinamarca. </t>
  </si>
  <si>
    <t>O3 - Problemáticas de las regiones</t>
  </si>
  <si>
    <t xml:space="preserve">O4- Por ser una universidad regional y de provincia, es requerida para participar en proyectos de investigación con otras entidades. </t>
  </si>
  <si>
    <t xml:space="preserve">O5 - Creciente implantación de universidades privadas en la provincia, para posibles alianzas estratégicas. </t>
  </si>
  <si>
    <t>O6 - Participación en eventos científicos nacionales e internacionales para semilleristas y docentes investigadores</t>
  </si>
  <si>
    <t>O7 - Participación en la secretaria de Ciencia, tecnología e Innovación del Departamento de Cundinamarca.</t>
  </si>
  <si>
    <t>O8 - Adquisición de nuevos software que optimicen las actividades del proceso</t>
  </si>
  <si>
    <t>O9- Conformación de la Editorial de la Universidad de Cundinamarca</t>
  </si>
  <si>
    <t xml:space="preserve">O10- Convocatorias externas al Sistema General de Regalías </t>
  </si>
  <si>
    <t xml:space="preserve">O11- Alianzas estratégicas con otras instituciones para el fortalecimiento de Ciencia, Tecnología e Innovación. </t>
  </si>
  <si>
    <t xml:space="preserve">O12- Internacionalización de la Investigación </t>
  </si>
  <si>
    <t>O13 - Aumento de recursos financieros para la Universidad (estampilla, de la Nación, Ciencia, Tecnología e Innovación)</t>
  </si>
  <si>
    <t>O14. Construcción del CAI (Campo de Aprendizaje Institucional) de CTI.</t>
  </si>
  <si>
    <t>O8. Convocatorias externas al Sistema General de Regalías.</t>
  </si>
  <si>
    <t xml:space="preserve">O9. Alianzas estratégicas con otras instituciones para el fortalecimiento de Ciencia, Tecnología e Innovación. </t>
  </si>
  <si>
    <t>O10. Internacionalización de la Investigación.</t>
  </si>
  <si>
    <t>O11. Aumento de recursos financieros para la Universidad (estampilla, de la Nación, Ciencia, Tecnología e Innovación).</t>
  </si>
  <si>
    <t>O1. Amplia oferta en el mercado de elementos, y equipos que permiten dotar, actualizar  y modernizar los espacios académicos.</t>
  </si>
  <si>
    <t>O2. Participación en redes académicas.</t>
  </si>
  <si>
    <t>O3. Posibilidad de crear y fortalecer nuevas alianzas interbibliotecarias.</t>
  </si>
  <si>
    <t>O4. Capacitación por entes externos a funcionarios y docentes de la institución en materia de inclusión</t>
  </si>
  <si>
    <t>O5. Participación en eventos y ferias agroindustriales (ganadería).</t>
  </si>
  <si>
    <t>O1. Alto Potencial de demanda de servicios de la Oficina a través de las Decanaturas y Oficinas.</t>
  </si>
  <si>
    <t>O2. Reconocimiento y competitividad que tiene la Universidad a nivel local y regional.</t>
  </si>
  <si>
    <t>O3. Posibilidad de crear alianzas o convenios empresariales con entidades públicas o privadas para el desarrollo de la Política de Interacción Social Universitaria en la región.</t>
  </si>
  <si>
    <t>O4. Amplio Nicho de mercado sin ser atendido.</t>
  </si>
  <si>
    <t>O6. Oferta de pasantes para el apoyo en la ejecución de las actividades del proceso.</t>
  </si>
  <si>
    <t>O7. Tecnologías de la información disponibles en la Institución que permitan optimizar las actividades que realiza actualmente el proceso.</t>
  </si>
  <si>
    <t>O8. Herramientas de medición encaminadas a conocer el contexto y el aumento de controles (entre otros), que le generen valor al proceso y permitan la toma de decisiones</t>
  </si>
  <si>
    <t>O9. Accesibilidad de la comunidad universitaria a canales de comunicación como redes sociales y plataformas digitales</t>
  </si>
  <si>
    <t>O10. La implementación de políticas misionales encaminadas al desarrollo institucional (Ciencia, Tecnología e Investigación, Dialogando con el Mundo, Interacción Social Universitaria, Inclusión entre otras)</t>
  </si>
  <si>
    <t>O11. Redes en las cuales tiene presencia la universidad como ASCUN o FODESEP para fortalecer la competencia de los funcionarios en temas relacionados con el proceso</t>
  </si>
  <si>
    <t xml:space="preserve">O1. Demanda de los servicios de Interacción Social Universitaria (Educación continuada y proyectos de interacción social) que impacten a la comunidad.  </t>
  </si>
  <si>
    <t>O4. Ampliación del nicho de mercado en relación a la oferta académica designada desde Interacción Social Universitaria.</t>
  </si>
  <si>
    <t>O5. Transferir conocimientos por parte de Interacción Social Universitaria desde los procesos de educación continuada y proyectos a la comunidad en general.</t>
  </si>
  <si>
    <t>O6. Tecnologías de la información disponibles en la Institución que permitan optimizar las actividades que realiza actualmente el proceso.</t>
  </si>
  <si>
    <t>O7. Sistematización de los procesos a fin de generar valor agregado en la toma de decisiones impactando positivamente el contexto regional y departamental.</t>
  </si>
  <si>
    <t>O8. La implementación de políticas misionales encaminadas al desarrollo institucional (Ciencia, Tecnología e Investigación, Dialogando con el Mundo, Interacción Social Universitaria, Inclusión entre otras)</t>
  </si>
  <si>
    <t>O9. Redes en las cuales tiene presencia la universidad como ASCUN o FODESEP para fortalecer la competencia de los funcionarios en temas relacionados con el proceso</t>
  </si>
  <si>
    <t>O1. Apoyo normativo por parte de los entes de control (conceptos, remisión, quejas por competencias).</t>
  </si>
  <si>
    <t xml:space="preserve">O2. Socialización realizada en periodos cortos por parte del equipo de trabajo de Control Interno Disciplinario, a fin de fortalecer criterios normativos y operativos dentro de la dirección. </t>
  </si>
  <si>
    <t>O1. Libre acceso a Jurisprudencia aplicable al proceso.</t>
  </si>
  <si>
    <t>O2 Solicitud de conceptos a Entes de Control y diferentes Órganos de Gobierno que permitan orientar los conceptos y la Gestión realizada por el Proceso.</t>
  </si>
  <si>
    <t>O1. Demanda en la Educación virtual en programas de Postgrado.</t>
  </si>
  <si>
    <t>O2. Becas otorgadas por convenios interinstitucionales.</t>
  </si>
  <si>
    <t>O3. Ofertar nuevos programas académicos teniendo en cuenta las necesidades del sector.</t>
  </si>
  <si>
    <t>O4. Articulación y apoyo con otras entidades (publicas y/o privadas).</t>
  </si>
  <si>
    <t>O5. Alianzas estratégicas con empresas e instituciones de educación superior</t>
  </si>
  <si>
    <t>O6. Participación en ferias y actividades de oferta académica</t>
  </si>
  <si>
    <t>O1. Apoyo de caja de compensación familiar para actividades de capacitación y de bienestar social laboral</t>
  </si>
  <si>
    <t xml:space="preserve">O2. Oferta en el mercado nuevos sistemas de información para la liquidación de nomina </t>
  </si>
  <si>
    <t>O3. Oferta en el mercado de operador para realizar los pagos de seguridad social y parafiscales</t>
  </si>
  <si>
    <t>O4. Posibilidad de utilizar la plataforma de EPS en línea para realizar afiliaciones</t>
  </si>
  <si>
    <t>O5. Estudiantes de ultimo semestre de carreras afines al Proceso que puedan realizar sus pasantías y funcionarios que puedan apoyar el desarrollo de las actividades programadas por la Dirección de Talento Humano.</t>
  </si>
  <si>
    <t>O6. Contar con la colaboración de empresas aliadas comercialmente con la Universidad que dentro de sus actividades proporcionen su colaboración en actividades plasmadas por la oficina EPS, ARL, Cajas de Compensación</t>
  </si>
  <si>
    <t>O7. Trabajo articulado con la Oficina de Atención al Ciudadano en pro del servicio al cliente interno</t>
  </si>
  <si>
    <t>O8. Trabajo articulado con la Oficina Asesora de Comunicaciones para trabajar temas de Clima y Cultura Organizacional</t>
  </si>
  <si>
    <t xml:space="preserve">O1: Posibilidad de Certificar la Web Institución </t>
  </si>
  <si>
    <t>O2: Espacios publicitarios que se pueden adquirir en los especiales de educación de los medios de comunicación con cobertura nacional</t>
  </si>
  <si>
    <t>O3: Posibilidad de generar relaciones interinstitucionales con universidades del país e instituciones académicas a nivel mundial.</t>
  </si>
  <si>
    <t xml:space="preserve">O4: Posicionamiento de redes sociales de la institución como un medio de comunicación masivo </t>
  </si>
  <si>
    <t>O5. Posibilidad de adquirir equipos tecnológicos acordes a las necesidades del mercado de las comunicaciones</t>
  </si>
  <si>
    <t>O7. Capacitación sobre el desarrollo de contenido inclusivo, dentro de ello se tiene proyectada la aplicación de subtítulos en los videos</t>
  </si>
  <si>
    <t>O8. Contar con una herramienta que permita medir la percepción de las partes interesadas frente a los diferentes medios institucionales</t>
  </si>
  <si>
    <t>O6. Crear un manual de redacción y estilo para la página web</t>
  </si>
  <si>
    <t>O1. Hacer la página web un medio de comunicación accesible con base en la aplicación de la norma técnica 5853 y la resolución 1519</t>
  </si>
  <si>
    <t xml:space="preserve">O3: Posicionamiento de redes sociales de la institución como un medio de comunicación masivo </t>
  </si>
  <si>
    <t>O4. Posibilidad de adquirir equipos tecnológicos acordes a las necesidades del mercado de las comunicaciones</t>
  </si>
  <si>
    <t>O5. Crear los lineamientos para accesibilidad en página web</t>
  </si>
  <si>
    <t>O6. Capacitación sobre el desarrollo de contenido inclusivo, dentro de ello se tiene proyectada la aplicación de subtítulos en los videos</t>
  </si>
  <si>
    <t>O7. Contar con una herramienta que permita medir la percepción de las partes interesadas frente a los diferentes medios institucionales</t>
  </si>
  <si>
    <t>O1. Capacitaciones con Entes Externos</t>
  </si>
  <si>
    <t>O2. Adquisición de nuevos equipos  y/o servicios tecnológicos (Oferta en el mercado de chats interactivos más prácticos y eficientes que permitan también generar informes estadísticos)</t>
  </si>
  <si>
    <t>O3. Certificaciones por entes externos por el buen desempeño y labor de la universidad en la ejecución de sus actividades.</t>
  </si>
  <si>
    <t>O4. Capacitaciones en cultura de servicio y neurolingüística con enfoque inclusivo.</t>
  </si>
  <si>
    <t>O3. Capacitaciones en cultura de servicio y neurolingüística con enfoque inclusivo.</t>
  </si>
  <si>
    <t xml:space="preserve">O1. Articulación con la Subdirección de Seguridad y Privacidad de la información, del Ministerio de Tecnologías de Información y Comunicación - Min TIC en la implementación de la Norma ISO 27001:2013 </t>
  </si>
  <si>
    <t>O2. Apoyos a través de la modalidad virtual en temas de Gobierno Digital y Protección de Datos por parte de Min TIC y Superintendencia de Industria y Comercio</t>
  </si>
  <si>
    <t>O3. La articulación y el apoyo con otras entidades es asertivo y eficiente.</t>
  </si>
  <si>
    <t>O4. Los lineamientos de acreditación pueden fortalecer aspectos como la infraestructura tecnológica y la gestión administrativa de la Institución.</t>
  </si>
  <si>
    <t>O5. Oportunidad de adquirir nuevos softwares que optimicen las actividades del proceso.</t>
  </si>
  <si>
    <t xml:space="preserve">O6.  La implementación de políticas misionales encaminadas al desarrollo institucional (Ciencia, Tecnología e Investigación, Dialogando con el Mundo, Interacción Social </t>
  </si>
  <si>
    <t>O7.  Diversidad de la población Universitaria que puede acceder a los contenidos tecnológicos de la Institución</t>
  </si>
  <si>
    <t>O1. Apoyos a través de la modalidad virtual en temas de Gobierno Digital y Protección de Datos por parte de Min TIC y Superintendencia de Industria y Comercio</t>
  </si>
  <si>
    <t>O2. Los lineamientos de acreditación pueden fortalecer aspectos como la infraestructura tecnológica y la gestión administrativa de la Institución.</t>
  </si>
  <si>
    <t>O3. Oportunidad de adquirir nuevos softwares que optimicen las actividades del proceso.</t>
  </si>
  <si>
    <t xml:space="preserve">O4.  La implementación de políticas misionales encaminadas al desarrollo institucional (Ciencia, Tecnología e Investigación, Dialogando con el Mundo, Interacción Social </t>
  </si>
  <si>
    <t>O5.  Diversidad de la población Universitaria que puede acceder a los contenidos tecnológicos de la Institución</t>
  </si>
  <si>
    <t>O6. Actualización y aprovechamiento de nuevas tecnologías para la mejora de los recursos y servicios tecnológicos</t>
  </si>
  <si>
    <t>O1. Capacitación permanente a los directivos de el área financiera con entidades altamente calificada.</t>
  </si>
  <si>
    <t>O2. El proceso hace uso de la oferta de pasantes que tiene la universidad</t>
  </si>
  <si>
    <t>O3. posibilidad de actualización tecnológica.</t>
  </si>
  <si>
    <t xml:space="preserve">O4.Gestion con entidades bancarias para logran la ejecución de pagos a la comunidad en general de forma oportuna </t>
  </si>
  <si>
    <t>O1. Capacitación permanente a los directivos del área financiera con entidades altamente calificadas (Contaduría publica).</t>
  </si>
  <si>
    <t>O2. Posibilidad de actualización tecnológica.(plataformas Bancarias)</t>
  </si>
  <si>
    <t>O3.Gestión con entidades bancarias para lograr la ejecución de pagos a la comunidad en general de forma oportuna</t>
  </si>
  <si>
    <t>O4. Adecuar herramientas estadísticas para crear Dashboard de información financiera</t>
  </si>
  <si>
    <t>O1. Estudiantes de ultimo semestre de carreras afines al Proceso que puedan realizar sus pasantías y funcionarios que puedan apoyar el desarrollo de las actividades programadas por SG-SST.</t>
  </si>
  <si>
    <t>O2. Contar con la colaboración de empresas aliadas comercialmente con la Universidad que dentro de sus actividades proporciones su colaboración en actividades plasmadas por la oficina EPS, ARL cajas de compensación</t>
  </si>
  <si>
    <t>O3. Fortalecimiento en la cultura de autocuidado en las partes interesadas de la Universidad.</t>
  </si>
  <si>
    <t>O4. Apropiación de los hábitos de vida saludables.</t>
  </si>
  <si>
    <t>O5. Generar estricto cumplimiento de las incapacidades  y recomendaciones medicas.</t>
  </si>
  <si>
    <t>O6. Desarrollo de actividades  con otras instituciones  fortaleciendo el plan de  ayuda mutua.</t>
  </si>
  <si>
    <t>O7. Promoción del SG SST en todos los centros de trabajo.</t>
  </si>
  <si>
    <t>O8. Trabajo articulado con la Oficina de Atención al Ciudadano en pro del servicio al cliente interno.</t>
  </si>
  <si>
    <t>O1.Estudiantes de entidades externas que pueden realizar sus pasantías en al UDEC apoyando el SG-SST.</t>
  </si>
  <si>
    <t>O2. Contar con la colaboración de empresas aliadas  comercialmente con la Universidad que apoyen el desarrollo de las actividades de SG-SST</t>
  </si>
  <si>
    <t>O3. Fortalecimiento de los grupos de emergencias mediante la participación en las actividades organizadas por entes externos.</t>
  </si>
  <si>
    <t>O4.Participacion en comités municipales y/o departamentales</t>
  </si>
  <si>
    <t>O8. Brindar al graduado la oportunidad capacitarse para realizar emprendimientos teniendo en cuenta los avances tecnológicos globales en materia de ciencia tecnología e Innovación.</t>
  </si>
  <si>
    <t>O9. Contar con el observatorio laboral para la educación OLE</t>
  </si>
  <si>
    <t>O1. Sector productivo de la región en busca de profesionales.</t>
  </si>
  <si>
    <t>O2. Búsqueda de alianzas por parte de la institución con las empresas.</t>
  </si>
  <si>
    <t>O3. Requisitos del CNA</t>
  </si>
  <si>
    <t>O4. Buenas prácticas de otras universidades para el seguimiento a graduados.</t>
  </si>
  <si>
    <t>O5. Ofertas de convenios potenciales en el mercado.</t>
  </si>
  <si>
    <t xml:space="preserve">O6. Adquisición e implementación de nuevos herramientas  tecnológicos </t>
  </si>
  <si>
    <t>O7. Brindar a los graduados la oportunidad de participar en talleres, seminarios, diplomados, dictados por profesionales altamente calificados.</t>
  </si>
  <si>
    <t>Contexto Interno</t>
  </si>
  <si>
    <t>DESCRIPCIÓN</t>
  </si>
  <si>
    <t>CANTIDAD DEBILIDADES</t>
  </si>
  <si>
    <t>PROCESO QUE REPORTA</t>
  </si>
  <si>
    <t>CANTIDAD FORTALEZAS</t>
  </si>
  <si>
    <t xml:space="preserve">Cuestión referente a la idoneidad de los funcionarios en términos de Educación, formación, habilidades, experiencia, inducción y capacitación. </t>
  </si>
  <si>
    <t xml:space="preserve">PROCESO GESTIÓN BIENES Y SERVICIOS
PROCESO GESTIÓN BIENESTAR UNIVERSITARIO
GESTIÓN COMUNICACIONES
PROCESO GESTIÓN DIALOGANDO CON EL MUNDO
PROCESO GESTIÓN TALENTO HUMANO
</t>
  </si>
  <si>
    <t>PROCESO GESTIÓN ADMISIONES Y REGISTRO
PROCESO GESTIÓN AUTOEVALUACIÓN Y ACREDITACIÓN
PROCESO GESTIÓN BIENES Y SERVICIOS
PROCESO GESTIÓN BIENESTAR UNIVERSITARIO 
PROCESO GESTIÓN CIENCIA, TECNOLOGÍA E INNOVACIÓN
PROCESO GESTIÓN COMUNICACIONES
PROCESO GESTIÓN CONTROL DISCIPLINARIO
PROCESO GESTIÓN CONTROL INTERNO
PROCESO GESTIÓN DE PROYECTOS ESPECIALES Y RELACIONES INTERINSTITUCIONALES
PROCESO GESTIÓN DIALOGANDO CON EL MUNDO
PROCESO GESTIÓN GRADUADOS
PROCESO GESTIÓN INTERACCIÓN UNIVERSITARIA
PROCESO GESTIÓN TALENTO HUMANO</t>
  </si>
  <si>
    <t>Se relaciona a adquirir, aumentar, organizar, distribuir y compartir el conocimiento entre los funcionarios o procesos, a fin de asegurar este mismo en la institución.</t>
  </si>
  <si>
    <t>PROCESO GESTIÓN ADMISIONES Y REGISTRO
PROCESO GESTIÓN BIENES Y SERVICIOS
PROCESO GESTIÓN CONTROL INTERNO
PROCESO GESTIÓN FORMACIÓN Y APRENDIZAJE 
PROCESO GESTIÓN JURÍDICA
PROCESO GESTIÓN PLANEACIÓN INSTITUCIONAL
PROCESO GESTIÓN SISTEMAS INTEGRADOS 
PROCESO GESTIÓN TALENTO HUMANO</t>
  </si>
  <si>
    <t>PROCESO GESTIÓN AUTOEVALUACIÓN Y ACREDITACIÓN
PROCESO GESTIÓN BIENES Y SERVICIOS
PROCESO GESTIÓN BIENESTAR UNIVERSITARIO 
PROCESO GESTIÓN DIALOGANDO CON EL MUNDO
PROCESO GESTIÓN FORMACIÓN Y APRENDIZAJE</t>
  </si>
  <si>
    <t>Se relaciona a procesos de inducción y capacitación a contratistas, funcionarios y docentes por parte de la institución</t>
  </si>
  <si>
    <t>PROCESO GESTIÓN CONTROL DISCIPLINARIO
PROCESO GESTIÓN DE PROYECTOS ESPECIALES Y RELACIONES INTERINSTITUCIONALES
PROCESO GESTIÓN DOCUMENTAL</t>
  </si>
  <si>
    <t>PROCESO GESTIÓN DE PROYECTOS ESPECIALES Y RELACIONES INTERINSTITUCIONALES
PROCESO GESTIÓN DIALOGANDO CON EL MUNDO
PROCESO GESTIÓN FINANCIERA
PROCESO GESTIÓN FORMACIÓN Y APRENDIZAJE 
PROCESO GESTIÓN GRADUADOS
PROCESO GESTIÓN INTERACCIÓN UNIVERSITARIA
PROCESO GESTIÓN SERVICIO DE ATENCIÓN AL CIUDADANO
PROCESO GESTIÓN TALENTO HUMANO</t>
  </si>
  <si>
    <t xml:space="preserve">ROLES Y RESPONSABILIDADES </t>
  </si>
  <si>
    <t>Se refiere a la definición y comunicación de tareas, actividades, responsabilidades y funciones al interior de interior de la UDEC.</t>
  </si>
  <si>
    <t>PROCESO GESTIÓN BIENESTAR UNIVERSITARIO 
PROCESO GESTIÓN COMUNICACIONES
PROCESO GESTIÓN CONTROL DISCIPLINARIO
PROCESO GESTIÓN CONTROL INTERNO
PROCESO GESTIÓN DE PROYECTOS ESPECIALES Y RELACIONES INTERINSTITUCIONALES
PROCESO GESTIÓN INTERACCIÓN UNIVERSITARIA
PROCESO GESTIÓN SERVICIO DE ATENCIÓN AL CIUDADANO
PROCESO GESTIÓN TALENTO HUMANO</t>
  </si>
  <si>
    <t>Cuestión interna relacionada al conocimiento, compromiso, participación y correcta ejecución de las actividades propias de la universidad.</t>
  </si>
  <si>
    <t>PROCESO GESTIÓN APOYO ACADÉMICO
PROCESO GESTIÓN AUTOEVALUACIÓN Y ACREDITACIÓN
PROCESO GESTIÓN BIENES Y SERVICIOS
PROCESO GESTIÓN CIENCIA, TECNOLOGÍA E INNOVACIÓN
PROCESO GESTIÓN CONTROL DISCIPLINARIO
PROCESO GESTIÓN CONTROL INTERNO
PROCESO GESTIÓN DOCUMENTAL
PROCESO GESTIÓN FORMACIÓN Y APRENDIZAJE 
PROCESO GESTIÓN INTERACCIÓN UNIVERSITARIA
PROCESO GESTIÓN JURÍDICA
PROCESO GESTIÓN PLANEACIÓN INSTITUCIONAL
PROCESO GESTIÓN SERVICIO DE ATENCIÓN AL CIUDADANO
PROCESO GESTIÓN SISTEMAS INTEGRADOS 
PROCESO GESTIÓN TALENTO HUMANO</t>
  </si>
  <si>
    <t>PROCESO GESTIÓN BIENES Y SERVICIOS
PROCESO GESTIÓN COMUNICACIONES
PROCESO GESTIÓN DOCUMENTAL
PROCESO GESTIÓN JURÍDICA
PROCESO GESTIÓN SERVICIO DE ATENCIÓN AL CIUDADANO
PROCESO GESTIÓN TALENTO HUMANO</t>
  </si>
  <si>
    <t>Cuestión interna relacionada a la permanencia, rotación de funcionarios y docentes, y a los tiempos de contratación de la universidad.</t>
  </si>
  <si>
    <t>PROCESO GESTIÓN AUTOEVALUACIÓN Y ACREDITACIÓN
PROCESO GESTIÓN BIENES Y SERVICIOS
PROCESO GESTIÓN COMUNICACIONES
PROCESO GESTIÓN CONTROL DISCIPLINARIO
PROCESO GESTIÓN CONTROL INTERNO
PROCESO GESTIÓN DE PROYECTOS ESPECIALES Y RELACIONES INTERINSTITUCIONALES
PROCESO GESTIÓN DIALOGANDO CON EL MUNDO
PROCESO GESTIÓN FORMACIÓN Y APRENDIZAJE 
PROCESO GESTIÓN JURÍDICA
PROCESO GESTIÓN SERVICIO DE ATENCIÓN AL CIUDADANO
PROCESO GESTIÓN SISTEMAS INTEGRADOS 
PROCESO GESTIÓN TALENTO HUMANO</t>
  </si>
  <si>
    <t>Relacionado a la prestación de apoyo o servicios de terceros en los procesos para el desarrollo de las actvidades o las tareas</t>
  </si>
  <si>
    <t>PROCESO GESTIÓN AUTOEVALUACIÓN Y ACREDITACIÓN
PROCESO GESTIÓN BIENES Y SERVICIOS
PROCESO GESTIÓN CONTROL INTERNO
PROCESO GESTIÓN FORMACIÓN Y APRENDIZAJE 
PROCESO GESTIÓN GRADUADOS
PROCESO GESTIÓN SISTEMAS INTEGRADOS 
PROCESO GESTIÓN SISTEMAS Y TECNOLOGÍA</t>
  </si>
  <si>
    <t>Relación entre la cantidad de funcionarios y docentes de los procesos frente a la carga operativa</t>
  </si>
  <si>
    <t>PROCESO GESTIÓN APOYO ACADÉMICO
PROCESO GESTIÓN BIENES Y SERVICIOS
PROCESO GESTIÓN BIENESTAR UNIVERSITARIO
PROCESO GESTIÓN COMUNICACIONES
PROCESO GESTIÓN CONTROL INTERNO
PROCESO GESTIÓN DE PROYECTOS ESPECIALES Y RELACIONES INTERINSTITUCIONALES
PROCESO GESTIÓN DIALOGANDO CON EL MUNDO
PROCESO GESTIÓN FINANCIERA
PROCESO GESTIÓN FORMACIÓN Y APRENDIZAJE 
PROCESO GESTIÓN GRADUADOS
PROCESO GESTIÓN INTERACCIÓN UNIVERSITARIA
PROCESO GESTIÓN JURÍDICA
PROCESO GESTIÓN TALENTO HUMANO</t>
  </si>
  <si>
    <t>PROCESO GESTIÓN AUTOEVALUACIÓN Y ACREDITACIÓN
PROCESO GESTIÓN COMUNICACIONES
PROCESO GESTIÓN FORMACIÓN Y APRENDIZAJE 
PROCESO GESTIÓN TALENTO HUMANO</t>
  </si>
  <si>
    <t xml:space="preserve"> EQUIPO, TECNOLOGÍA E INFRAESTRUCTURA</t>
  </si>
  <si>
    <t> Se refiere a la disposición y cantidad (suficiencia) de instrumentos o elementos para realizar actividades en los procesos.</t>
  </si>
  <si>
    <t>PROCESO GESTIÓN APOYO ACADÉMICO
PROCESO GESTIÓN BIENES Y SERVICIOS
PROCESO GESTIÓN COMUNICACIONES
PROCESO GESTIÓN SISTEMAS INTEGRADOS</t>
  </si>
  <si>
    <t>PROCESO GESTIÓN COMUNICACIONES
PROCESO GESTIÓN DE PROYECTOS ESPECIALES Y RELACIONES INTERINSTITUCIONALES
PROCESO GESTIÓN DOCUMENTAL</t>
  </si>
  <si>
    <t xml:space="preserve">UBICACIÓN Y ACCESO </t>
  </si>
  <si>
    <t>Se refiere al la ubicación de las instalaciones físicas y la facilidad para acceder a ellas.</t>
  </si>
  <si>
    <t>PROCESO GESTIÓN BIENESTAR UNIVERSITARIO
PROCESO GESTIÓN FORMACIÓN Y APRENDIZAJE 
PROCESO GESTIÓN TALENTO HUMANO</t>
  </si>
  <si>
    <t>Cuestiones relacionadas a la asignación y disponibilidad de  infraestructura física y mobiliario.</t>
  </si>
  <si>
    <t>PROCESO GESTIÓN APOYO ACADÉMICO
PROCESO GESTIÓN BIENES Y SERVICIOS
PROCESO GESTIÓN CIENCIA, TECNOLOGÍA E INNOVACIÓN
PROCESO GESTIÓN CONTROL INTERNO
PROCESO GESTIÓN DOCUMENTAL
PROCESO GESTIÓN FORMACIÓN Y APRENDIZAJE 
PROCESO GESTIÓN SERVICIO DE ATENCIÓN AL CIUDADANO
PROCESO GESTIÓN TALENTO HUMANO</t>
  </si>
  <si>
    <t>PROCESO GESTIÓN APOYO ACADÉMICO
PROCESO GESTIÓN AUTOEVALUACIÓN Y ACREDITACIÓN
PROCESO GESTIÓN COMUNICACIONES
PROCESO GESTIÓN DE PROYECTOS ESPECIALES Y RELACIONES INTERINSTITUCIONALES
PROCESO GESTIÓN FORMACIÓN Y APRENDIZAJE 
PROCESO GESTIÓN INTERACCIÓN UNIVERSITARIA
PROCESO GESTIÓN PLANEACIÓN INSTITUCIONAL
PROCESO GESTIÓN SERVICIO DE ATENCIÓN AL CIUDADANO</t>
  </si>
  <si>
    <t xml:space="preserve">REDES </t>
  </si>
  <si>
    <t>Se refiere al alcance, cobertura, acceso y método de conexión a redes (Internet, teléfono, entre otros).</t>
  </si>
  <si>
    <t xml:space="preserve">PLATAFORMAS WEB </t>
  </si>
  <si>
    <t xml:space="preserve"> Se refiere a la implementación y desarrollo de plataformas informáticas o en línea para la operación de los procesos.</t>
  </si>
  <si>
    <t>CIENCIA, TECNOLOGÍA E INNOVACIÓN
GESTIÓN ADMISIONES Y REGISTRO
GESTIÓN COMUNICACIONES
GESTIÓN CONTROL DISCIPLINARIO
PROCESO FINANCIERO</t>
  </si>
  <si>
    <t xml:space="preserve">MEDIOS DE TRANSPORTE </t>
  </si>
  <si>
    <t>Se relaciona a la asignación, disponibilidad y funcionalidad de transporte para el desplazamiento de personas y herramientas de un lugar a otro.</t>
  </si>
  <si>
    <t>Se refiere al conjunto y/o actualización de programas, plataformas, datos y aplicativos que permiten ejecutar tareas; tambien la seguridad de información y datos de estos mismos.</t>
  </si>
  <si>
    <t>PROCESO GESTIÓN ADMISIONES Y REGISTRO
PROCESO GESTIÓN BIENESTAR UNIVERSITARIO
PROCESO GESTIÓN CIENCIA, TECNOLOGÍA E INNOVACIÓN
PROCESO GESTIÓN COMUNICACIONES
PROCESO GESTIÓN DOCUMENTAL
PROCESO GESTIÓN INTERACCIÓN UNIVERSITARIA
PROCESO GESTIÓN JURÍDICA
PROCESO GESTIÓN SISTEMAS INTEGRADOS</t>
  </si>
  <si>
    <t>PROCESO GESTIÓN ADMISIONES Y REGISTRO
PROCESO GESTIÓN APOYO ACADÉMICO
PROCESO GESTIÓN AUTOEVALUACIÓN Y ACREDITACIÓN
PROCESO GESTIÓN BIENES Y SERVICIOS
PROCESO GESTIÓN BIENESTAR UNIVERSITARIO 
PROCESO GESTIÓN CIENCIA, TECNOLOGÍA E INNOVACIÓN
PROCESO GESTIÓN COMUNICACIONES
PROCESO GESTIÓN CONTROL DISCIPLINARIO
PROCESO GESTIÓN CONTROL INTERNO
PROCESO GESTIÓN FINANCIERA
PROCESO GESTIÓN FORMACIÓN Y APRENDIZAJE 
PROCESO GESTIÓN JURÍDICA
PROCESO GESTIÓN SERVICIO DE ATENCIÓN AL CIUDADANO
PROCESO GESTIÓN SISTEMAS INTEGRADOS 
PROCESO GESTIÓN SISTEMAS Y TECNOLOGÍA</t>
  </si>
  <si>
    <t xml:space="preserve">HARDWARE  </t>
  </si>
  <si>
    <t>Se relaciona a la cantidad y funcionalidad de medios y equipos físicos que poseen los procesos.</t>
  </si>
  <si>
    <t xml:space="preserve">OBSOLECENCIA </t>
  </si>
  <si>
    <t xml:space="preserve">Se relaciona a temas de actualización, reposición y modernización de equipos. </t>
  </si>
  <si>
    <t>PROCESO GESTIÓN DE PROYECTOS ESPECIALES Y RELACIONES INTERINSTITUCIONALES
PROCESO GESTIÓN TALENTO HUMANO</t>
  </si>
  <si>
    <t xml:space="preserve">INSUMOS </t>
  </si>
  <si>
    <t>CONSUMO</t>
  </si>
  <si>
    <t>Consumo de papel y otros materiales en las actividades de los procesos.</t>
  </si>
  <si>
    <t>METODOS</t>
  </si>
  <si>
    <t>Se refiere a los canales, tiempos y pertinencia de la información transmitida.</t>
  </si>
  <si>
    <t>PROCESO GESTIÓN BIENES Y SERVICIOS
PROCESO GESTIÓN GRADUADOS
PROCESO GESTIÓN APOYO ACADÉMICO
PROCESO GESTIÓN AUTOEVALUACIÓN Y ACREDITACIÓN
PROCESO GESTIÓN BIENES Y SERVICIOS
PROCESO GESTIÓN INTERACCIÓN UNIVERSITARIA
PROCESO GESTIÓN JURÍDICA
PROCESO GESTIÓN SERVICIO DE ATENCIÓN AL CIUDADANO
PROCESO GESTIÓN SISTEMAS INTEGRADOS 
DOCUMENTACIÓN</t>
  </si>
  <si>
    <t>PROCESO GESTIÓN ADMISIONES Y REGISTRO
PROCESO GESTIÓN BIENES Y SERVICIOS
PROCESO GESTIÓN BIENESTAR UNIVERSITARIO 
PROCESO GESTIÓN COMUNICACIONES
PROCESO GESTIÓN CONTROL DISCIPLINARIO
PROCESO GESTIÓN CONTROL INTERNO
PROCESO GESTIÓN DE PROYECTOS ESPECIALES Y RELACIONES INTERINSTITUCIONALES
PROCESO GESTIÓN FORMACIÓN Y APRENDIZAJE 
PROCESO GESTIÓN GRADUADOS
PROCESO GESTIÓN SERVICIO DE ATENCIÓN AL CIUDADANO
PROCESO GESTIÓN TALENTO HUMANO</t>
  </si>
  <si>
    <t xml:space="preserve">DOCUMENTACIÓN </t>
  </si>
  <si>
    <t xml:space="preserve">Se refiere a la  actualización y/o disponibilidad documental de información en los procesos del SGC.
</t>
  </si>
  <si>
    <t>PROCESO GESTIÓN CIENCIA, TECNOLOGÍA E INNOVACIÓN
PROCESO GESTIÓN COMUNICACIONES
PROCESO GESTIÓN CONTROL INTERNO
PROCESO GESTIÓN DOCUMENTAL
PROCESO GESTIÓN FINANCIERA
PROCESO GESTIÓN FORMACIÓN Y APRENDIZAJE 
PROCESO GESTIÓN INTERACCIÓN UNIVERSITARIA
PROCESO GESTIÓN SISTEMAS Y TECNOLOGÍA</t>
  </si>
  <si>
    <t>PROCESO GESTIÓN AUTOEVALUACIÓN Y ACREDITACIÓN
PROCESO GESTIÓN CIENCIA, TECNOLOGÍA E INNOVACIÓN
PROCESO GESTIÓN CONTROL DISCIPLINARIO
PROCESO GESTIÓN CONTROL INTERNO
PROCESO GESTIÓN DE PROYECTOS ESPECIALES Y RELACIONES INTERINSTITUCIONALES
PROCESO GESTIÓN DOCUMENTAL</t>
  </si>
  <si>
    <t xml:space="preserve">INFORMACIÓN </t>
  </si>
  <si>
    <t>Se relaciona a temas de veracidad, actualización, confiabilidad, direccionamiento  y oportunidad en la entrega de la  información.</t>
  </si>
  <si>
    <t>PROCESO GESTIÓN APOYO ACADÉMICO
PROCESO GESTIÓN BIENES Y SERVICIOS
PROCESO GESTIÓN BIENESTAR UNIVERSITARIO
PROCESO GESTIÓN COMUNICACIONES
PROCESO GESTIÓN CONTROL INTERNO
PROCESO GESTIÓN DIALOGANDO CON EL MUNDO
PROCESO GESTIÓN GRADUADOS
PROCESO GESTIÓN JURÍDICA
PROCESO GESTIÓN PLANEACIÓN INSTITUCIONAL
PROCESO GESTIÓN SERVICIO DE ATENCIÓN AL CIUDADANO
PROCESO GESTIÓN TALENTO HUMANO</t>
  </si>
  <si>
    <t>PROCESO GESTIÓN COMUNICACIONES
PROCESO GESTIÓN DE PROYECTOS ESPECIALES Y RELACIONES INTERINSTITUCIONALES
PROCESO GESTIÓN DOCUMENTAL
PROCESO GESTIÓN GRADUADOS</t>
  </si>
  <si>
    <t xml:space="preserve">GESTIÓN DEL CAMBIO </t>
  </si>
  <si>
    <t>Se relaciona al enfoque de transición y proceso de cambio que afecten la operación o el logro de los objetivos.</t>
  </si>
  <si>
    <t>PROCESO GESTIÓN CIENCIA, TECNOLOGÍA E INNOVACIÓN
PROCESO GESTIÓN CONTROL INTERNO
PROCESO GESTIÓN DIALOGANDO CON EL MUNDO</t>
  </si>
  <si>
    <t xml:space="preserve">Se refiere al tiempo de operación de los procesos. </t>
  </si>
  <si>
    <t>PROCESO GESTIÓN ADMISIONES Y REGISTRO
PROCESO GESTIÓN AUTOEVALUACIÓN Y ACREDITACIÓN
PROCESO GESTIÓN CIENCIA, TECNOLOGÍA E INNOVACIÓN
PROCESO GESTIÓN COMUNICACIONES
PROCESO GESTIÓN CONTROL DISCIPLINARIO
PROCESO GESTIÓN CONTROL INTERNO
PROCESO GESTIÓN DOCUMENTAL
PROCESO GESTIÓN FORMACIÓN Y APRENDIZAJE 
PROCESO GESTIÓN JURÍDICA
PROCESO GESTIÓN SERVICIO DE ATENCIÓN AL CIUDADANO
PROCESO GESTIÓN TALENTO HUMANO</t>
  </si>
  <si>
    <t>PROCESO GESTIÓN COMUNICACIONES
PROCESO GESTIÓN GRADUADOS
PROCESO GESTIÓN SERVICIO DE ATENCIÓN AL CIUDADANO
PROCESO GESTIÓN TALENTO HUMANO</t>
  </si>
  <si>
    <t xml:space="preserve">Cuestiones relacionadas al cumplimento y expedición de normatividad (lineamientos) interna y externa. </t>
  </si>
  <si>
    <t>PROCESO GESTIÓN CONTROL INTERNO
PROCESO GESTIÓN DOCUMENTAL
PROCESO GESTIÓN FINANCIERA
PROCESO GESTIÓN GRADUADOS
PROCESO GESTIÓN TALENTO HUMANO</t>
  </si>
  <si>
    <t>PROCESO GESTIÓN BIENESTAR UNIVERSITARIO 
PROCESO GESTIÓN CIENCIA, TECNOLOGÍA E INNOVACIÓN
PROCESO GESTIÓN COMUNICACIONES
PROCESO GESTIÓN CONTROL DISCIPLINARIO
PROCESO GESTIÓN GRADUADOS
PROCESO GESTIÓN INTERACCIÓN UNIVERSITARIA
PROCESO GESTIÓN TALENTO HUMANO</t>
  </si>
  <si>
    <t>Se refiere  al desarrollo e  implementación de aplicativos, herramientas o sistemas de información en la operación de los procesos a fin de optimizar o agilzar tramites, y digitalizar o salvaguardar la documentación.</t>
  </si>
  <si>
    <t>PROCESO GESTIÓN AUTOEVALUACIÓN Y ACREDITACIÓN
PROCESO GESTIÓN CIENCIA, TECNOLOGÍA E INNOVACIÓN
PROCESO GESTIÓN DOCUMENTAL
PROCESO GESTIÓN GRADUADOS
PROCESO GESTIÓN INTERACCIÓN UNIVERSITARIA
PROCESO GESTIÓN TALENTO HUMANO</t>
  </si>
  <si>
    <t>PROCESO GESTIÓN AUTOEVALUACIÓN Y ACREDITACIÓN
PROCESO GESTIÓN CONTROL INTERNO
PROCESO GESTIÓN SISTEMAS Y TECNOLOGÍA
PROCESO GESTIÓN TALENTO HUMANO</t>
  </si>
  <si>
    <t xml:space="preserve">TRANSPARENCIA </t>
  </si>
  <si>
    <t>Se refiere a la parcialidad y legalidad de la contratación.</t>
  </si>
  <si>
    <t>PROCESO GESTIÓN CONTROL DISCIPLINARIO
PROCESO GESTIÓN DE PROYECTOS ESPECIALES Y RELACIONES INTERINSTITUCIONALES</t>
  </si>
  <si>
    <t xml:space="preserve">IMPLEMENTACION </t>
  </si>
  <si>
    <t>Se relaciona al cumplimiento y ejecución de actividades  de los procedimientos y normatividades.</t>
  </si>
  <si>
    <t>PROCESO GESTIÓN BIENES Y SERVICIOS
PROCESO GESTIÓN CIENCIA, TECNOLOGÍA E INNOVACIÓN
PROCESO GESTIÓN COMUNICACIONES</t>
  </si>
  <si>
    <t>PROCESO GESTIÓN BIENESTAR UNIVERSITARIO 
PROCESO GESTIÓN CONTROL INTERNO
PROCESO GESTIÓN DOCUMENTAL
PROCESO GESTIÓN JURÍDICA</t>
  </si>
  <si>
    <t>Se relaciona a las actividades que permiten realizar seguimiento y controlar el proceso en las etapas pertinentes para la toma de decisiones.</t>
  </si>
  <si>
    <t>PROCESO GESTIÓN BIENES Y SERVICIOS
PROCESO GESTIÓN CONTROL INTERNO
PROCESO GESTIÓN DOCUMENTAL
PROCESO GESTIÓN ADMISIONES Y REGISTRO
PROCESO GESTIÓN BIENES Y SERVICIOS
PROCESO GESTIÓN CONTROL INTERNO
PROCESO GESTIÓN DOCUMENTAL
PROCESO GESTIÓN FINANCIERA
PROCESO GESTIÓN FORMACIÓN Y APRENDIZAJE 
PROCESO GESTIÓN TALENTO HUMANO</t>
  </si>
  <si>
    <t>PROCESO GESTIÓN DE PROYECTOS ESPECIALES Y RELACIONES INTERINSTITUCIONALES
PROCESO GESTIÓN FORMACIÓN Y APRENDIZAJE</t>
  </si>
  <si>
    <t xml:space="preserve">Se relaciona al quehacer de los procesos del SGC, documentado en procedimientos, guias, instructivo, etc </t>
  </si>
  <si>
    <t>PROCESO GESTIÓN FORMACIÓN Y APRENDIZAJE 
PROCESO GESTIÓN INTERACCIÓN UNIVERSITARIA
PROCESO GESTIÓN JURÍDICA</t>
  </si>
  <si>
    <t>PROCESO GESTIÓN ADMISIONES Y REGISTRO
PROCESO GESTIÓN APOYO ACADÉMICO
PROCESO GESTIÓN DE PROYECTOS ESPECIALES Y RELACIONES INTERINSTITUCIONALES
PROCESO GESTIÓN DIALOGANDO CON EL MUNDO
PROCESO GESTIÓN FORMACIÓN Y APRENDIZAJE</t>
  </si>
  <si>
    <t>ARTICULACION DE PROCESOS</t>
  </si>
  <si>
    <t>Se relaciona a la integración, fluidez, unificación de criterios  para la interrelación de los procesos a fin de evitar reprocesos, demoras e interrupciones.</t>
  </si>
  <si>
    <t>PROCESO GESTIÓN ADMISIONES Y REGISTRO
PROCESO GESTIÓN APOYO ACADÉMICO
PROCESO GESTIÓN BIENES Y SERVICIOS
PROCESO GESTIÓN DE PROYECTOS ESPECIALES Y RELACIONES INTERINSTITUCIONALES
PROCESO GESTIÓN FORMACIÓN Y APRENDIZAJE 
PROCESO GESTIÓN GRADUADOS
PROCESO GESTIÓN INTERACCIÓN UNIVERSITARIA
PROCESO GESTIÓN JURÍDICA
PROCESO GESTIÓN SERVICIO DE ATENCIÓN AL CIUDADANO
PROCESO GESTIÓN SISTEMAS INTEGRADOS 
PROCESO GESTIÓN SISTEMAS Y TECNOLOGÍA</t>
  </si>
  <si>
    <t>PROCESO GESTIÓN BIENESTAR UNIVERSITARIO 
PROCESO GESTIÓN GRADUADOS
PROCESO GESTIÓN PLANEACIÓN INSTITUCIONAL
PROCESO GESTIÓN SERVICIO DE ATENCIÓN AL CIUDADANO</t>
  </si>
  <si>
    <t>Se relaciona al establecimiento, pertinencia de datos, percepciones e información que mida el desempeño de los procesos.</t>
  </si>
  <si>
    <t>PROCESO GESTIÓN CONTROL DISCIPLINARIO
PROCESO GESTIÓN FINANCIERA
PROCESO GESTIÓN GRADUADOS</t>
  </si>
  <si>
    <t xml:space="preserve">PROCESO GESTIÓN BIENES Y SERVICIOS
PROCESO GESTIÓN BIENESTAR UNIVERSITARIO 
PROCESO GESTIÓN COMUNICACIONES
PROCESO GESTIÓN CONTROL DISCIPLINARIO
PROCESO GESTIÓN DE PROYECTOS ESPECIALES Y RELACIONES INTERINSTITUCIONALES
PROCESO GESTIÓN DOCUMENTAL
PROCESO GESTIÓN FORMACIÓN Y APRENDIZAJE </t>
  </si>
  <si>
    <t xml:space="preserve">RESULTADOS </t>
  </si>
  <si>
    <t>Se relaciona al efecto y consecuencia que resulta de una determinada situación, proyecto o proceso.</t>
  </si>
  <si>
    <t>PROCESO GESTIÓN CONTROL INTERNO
PROCESO GESTIÓN TALENTO HUMANO</t>
  </si>
  <si>
    <t>PROCESO GESTIÓN CIENCIA, TECNOLOGÍA E INNOVACIÓN
PROCESO GESTIÓN COMUNICACIONES</t>
  </si>
  <si>
    <t xml:space="preserve">TRAZABILIDAD </t>
  </si>
  <si>
    <t>Se relaciona al procedimiento preestablecido que permite conocer la trayectoria de un producto, datos e información.</t>
  </si>
  <si>
    <t>Se refiere al recurso financiero y rubro presupuestal de la UDEC,  para hacer frente a gastos y costos.</t>
  </si>
  <si>
    <t>PROCESO GESTIÓN APOYO ACADÉMICO
PROCESO GESTIÓN BIENES Y SERVICIOS
PROCESO GESTIÓN BIENESTAR UNIVERSITARIO
PROCESO GESTIÓN COMUNICACIONES
PROCESO GESTIÓN DIALOGANDO CON EL MUNDO
PROCESO GESTIÓN FINANCIERA
PROCESO GESTIÓN FORMACIÓN Y APRENDIZAJE 
PROCESO GESTIÓN GRADUADOS
PROCESO GESTIÓN SISTEMAS INTEGRADOS 
PROCESO GESTIÓN SISTEMAS Y TECNOLOGÍA</t>
  </si>
  <si>
    <t>PROCESO GESTIÓN AUTOEVALUACIÓN Y ACREDITACIÓN
PROCESO GESTIÓN CONTROL DISCIPLINARIO
PROCESO GESTIÓN GRADUADOS
PROCESO GESTIÓN PLANEACIÓN INSTITUCIONAL</t>
  </si>
  <si>
    <t xml:space="preserve">LIQUIDEZ </t>
  </si>
  <si>
    <t>Cuestión interna relacionada a la capacidad económica de la UDEC, en  mantener un flujo constante de capital  para la ejecución de actividades académicas y administrativas.</t>
  </si>
  <si>
    <t>PROCESO GESTIÓN COMUNICACIONES
PROCESO GESTIÓN DE PROYECTOS ESPECIALES Y RELACIONES INTERINSTITUCIONALES
PROCESO GESTIÓN FINANCIERA</t>
  </si>
  <si>
    <t>PROCESO GESTIÓN CIENCIA, TECNOLOGÍA E INNOVACIÓN
PROCESO GESTIÓN DE PROYECTOS ESPECIALES Y RELACIONES INTERINSTITUCIONALES
PROCESO GESTIÓN DOCUMENTAL</t>
  </si>
  <si>
    <t xml:space="preserve">Se refiere a temas de integración, condiciones físicas, horarios, promociones y eficiente clima laboral para mejorar la calidad de vida del personal. </t>
  </si>
  <si>
    <t>PROCESO GESTIÓN SISTEMAS INTEGRADOS 
PROCESO GESTIÓN BIENESTAR UNIVERSITARIO 
PROCESO GESTIÓN COMUNICACIONES
PROCESO GESTIÓN CONTROL INTERNO
PROCESO GESTIÓN DE PROYECTOS ESPECIALES Y RELACIONES INTERINSTITUCIONALES
PROCESO GESTIÓN JURÍDICA
PROCESO GESTIÓN SERVICIO DE ATENCIÓN AL CIUDADANO
PROCESO GESTIÓN TALENTO HUMANO
PROCESO GESTIÓN CONTROL DISCIPLINARIO</t>
  </si>
  <si>
    <t xml:space="preserve">MANAGEMENT </t>
  </si>
  <si>
    <t>DIRECCIONAMIENTO ESTRATEGICO</t>
  </si>
  <si>
    <t>Cuestión interna relacionada a temas de lineamientos,  directrices estratégicas y políticas  para la toma de decisiones.</t>
  </si>
  <si>
    <t xml:space="preserve">PROCESO GESTIÓN BIENES Y SERVICIOS
PROCESO GESTIÓN DE PROYECTOS ESPECIALES Y RELACIONES INTERINSTITUCIONALES
PROCESO GESTIÓN FORMACIÓN Y APRENDIZAJE 
PROCESO GESTIÓN INTERACCIÓN UNIVERSITARIA
PROCESO GESTIÓN PLANEACIÓN INSTITUCIONAL
PROCESO GESTIÓN SISTEMAS INTEGRADOS </t>
  </si>
  <si>
    <t xml:space="preserve">PROCESO GESTIÓN APOYO ACADÉMICO
PROCESO GESTIÓN AUTOEVALUACIÓN Y ACREDITACIÓN
PROCESO GESTIÓN BIENES Y SERVICIOS
PROCESO GESTIÓN BIENESTAR UNIVERSITARIO 
PROCESO GESTIÓN DIALOGANDO CON EL MUNDO
PROCESO GESTIÓN INTERACCIÓN UNIVERSITARIA
PROCESO GESTIÓN SISTEMAS INTEGRADOS </t>
  </si>
  <si>
    <t xml:space="preserve"> Aspecto interno relacionado a políticas, estudios, tiempos y cultura de los procesos para alcanzar objetivos, teniendo en cuenta el cumplimiento de actividades definidas con anterioridad .</t>
  </si>
  <si>
    <t>PROCESO GESTIÓN AUTOEVALUACIÓN Y ACREDITACIÓN
PROCESO GESTIÓN BIENESTAR UNIVERSITARIO
PROCESO GESTIÓN CIENCIA, TECNOLOGÍA E INNOVACIÓN
PROCESO GESTIÓN COMUNICACIONES
PROCESO GESTIÓN CONTROL INTERNO
PROCESO GESTIÓN DIALOGANDO CON EL MUNDO
PROCESO GESTIÓN GRADUADOS
PROCESO GESTIÓN INTERACCIÓN UNIVERSITARIA
PROCESO GESTIÓN PLANEACIÓN INSTITUCIONAL
PROCESO GESTIÓN TALENTO HUMANO</t>
  </si>
  <si>
    <t>PROCESO GESTIÓN AUTOEVALUACIÓN Y ACREDITACIÓN
PROCESO GESTIÓN BIENES Y SERVICIOS
PROCESO GESTIÓN CONTROL DISCIPLINARIO
PROCESO GESTIÓN DE PROYECTOS ESPECIALES Y RELACIONES INTERINSTITUCIONALES
PROCESO GESTIÓN DOCUMENTAL
PROCESO GESTIÓN FINANCIERA
PROCESO GESTIÓN FORMACIÓN Y APRENDIZAJE 
PROCESO GESTIÓN GRADUADOS
PROCESO GESTIÓN INTERACCIÓN UNIVERSITARIA
PROCESO GESTIÓN PLANEACIÓN INSTITUCIONAL
PROCESO GESTIÓN TALENTO HUMANO</t>
  </si>
  <si>
    <t>Se relaciona a la habilidad de influir e incentivar positivamente sobre las personas  para el cumplimiento de proyectos, metas y objetivos.</t>
  </si>
  <si>
    <t>PROCESO GESTIÓN CONTROL INTERNO
PROCESO GESTIÓN DIALOGANDO CON EL MUNDO
PROCESO GESTIÓN FORMACIÓN Y APRENDIZAJE 
PROCESO GESTIÓN JURÍDICA</t>
  </si>
  <si>
    <t>Se relaciona a la capacidad que tiene la UDEC para enfrentar las necesidades de la sociedad de una manera competitiva.</t>
  </si>
  <si>
    <t xml:space="preserve">RELACIONAMIENTO </t>
  </si>
  <si>
    <t>Se refiere a la  comunicación y relación con entes internos y externos.</t>
  </si>
  <si>
    <t>PROCESO GESTIÓN CONTROL DISCIPLINARIO
PROCESO GESTIÓN DIALOGANDO CON EL MUNDO</t>
  </si>
  <si>
    <t>PROCESO GESTIÓN APOYO ACADÉMICO
PROCESO GESTIÓN DE PROYECTOS ESPECIALES Y RELACIONES INTERINSTITUCIONALES
PROCESO GESTIÓN DIALOGANDO CON EL MUNDO
PROCESO GESTIÓN GRADUADOS
PROCESO GESTIÓN PLANEACIÓN INSTITUCIONAL</t>
  </si>
  <si>
    <t xml:space="preserve">POSICIONAMIENTO </t>
  </si>
  <si>
    <t xml:space="preserve">Se refiere a temas de posición, presencia, prestigio, reconocimiento y buen nombre de la Universidad. </t>
  </si>
  <si>
    <t>PROCESO GESTIÓN CIENCIA, TECNOLOGÍA E INNOVACIÓN
PROCESO GESTIÓN DE PROYECTOS ESPECIALES Y RELACIONES INTERINSTITUCIONALES
PROCESO GESTIÓN FORMACIÓN Y APRENDIZAJE 
PROCESO GESTIÓN GRADUADOS</t>
  </si>
  <si>
    <t xml:space="preserve">ESTRUCTURA ORGANICA </t>
  </si>
  <si>
    <t>Se relaciona a la jerarquización y división de las funciones, estableciendo líneas de autoridad.</t>
  </si>
  <si>
    <t>Contexto Externo</t>
  </si>
  <si>
    <t>CANTIDAD AMENAZAS</t>
  </si>
  <si>
    <t>CANTIDAD OPORTUNIDADES</t>
  </si>
  <si>
    <t>POLITICO</t>
  </si>
  <si>
    <t xml:space="preserve">POLITICAS </t>
  </si>
  <si>
    <t xml:space="preserve">Desarrollo de directrices que encaminan a los procesos al logro de un mismo fin. </t>
  </si>
  <si>
    <t>PROCESO GESTIÓN AUTOEVALUACIÓN Y ACREDITACIÓN
PROCESO GESTIÓN BIENES Y SERVICIOS
PROCESO GESTIÓN BIENESTAR UNIVERSITARIO
PROCESO GESTIÓN DIALOGANDO CON EL MUNDO
PROCESO GESTIÓN FORMACIÓN Y APRENDIZAJE 
PROCESO GESTIÓN PLANEACIÓN INSTITUCIONAL</t>
  </si>
  <si>
    <t>PROCESO GESTIÓN ADMISIONES Y REGISTRO
PROCESO GESTIÓN BIENES Y SERVICIOS
PROCESO GESTIÓN BIENESTAR UNIVERSITARIO
PROCESO GESTIÓN DOCUMENTAL
PROCESO GESTIÓN PLANEACIÓN INSTITUCIONAL</t>
  </si>
  <si>
    <t>INFLUENCIA</t>
  </si>
  <si>
    <t>Autoridad de una persona o grupo para determinar o alterar la forma de actuar.</t>
  </si>
  <si>
    <t>PROCESO GESTIÓN DIALOGANDO CON EL MUNDO
PROCESO GESTIÓN SISTEMAS Y TECNOLOGÍA</t>
  </si>
  <si>
    <t>Se refiere a la honestidad, ética, responsabilidad y cumplimiento de una entidad en sus funciones y actividades, para generar una relación de confianza y seguridad.</t>
  </si>
  <si>
    <t>PROCESO GESTIÓN CIENCIA, TECNOLOGÍA E INNOVACIÓN
PROCESO GESTIÓN INTERACCIÓN UNIVERSITARIA
PROCESO GESTIÓN TALENTO HUMANO.</t>
  </si>
  <si>
    <t>Se refiere a la aplicación de técnicas comunicativas, con la finalidad de dar información sobre un tema para crear conexión e interacción entre dos o más entes.</t>
  </si>
  <si>
    <t>PROCESO GESTIÓN BIENESTAR UNIVERSITARIO
PROCESO GESTIÓN DIALOGANDO CON EL MUNDO
PROCESO GESTIÓN FINANCIERA
PROCESO GESTIÓN FORMACIÓN Y APRENDIZAJE 
PROCESO GESTIÓN GRADUADOS
PROCESO GESTIÓN JURÍDICA
PROCESO GESTIÓN PLANEACIÓN INSTITUCIONAL</t>
  </si>
  <si>
    <t>Se relaciona a la cantidad de colocación de capital público, para beneficios presupuestales de la institución.</t>
  </si>
  <si>
    <t>Se relaciona a tramites, giros y la capacidad de generar efectivo a través del recaudo para cumplir con el pago de compromisos y/o deudas durante un periodo de tiempo determinado .</t>
  </si>
  <si>
    <t>Se refiere a la cantidad de dinero que se estima, la cual será necesaria para hacer frente a gastos y/o costos para un determinado periodo de tiempo.</t>
  </si>
  <si>
    <t>PROCESO GESTIÓN APOYO ACADÉMICO
PROCESO GESTIÓN BIENES Y SERVICIOS
PROCESO GESTIÓN FINANCIERA
PROCESO GESTIÓN FORMACIÓN Y APRENDIZAJE 
PROCESO GESTIÓN GRADUADOS</t>
  </si>
  <si>
    <t xml:space="preserve">Hace referencia a la carencia o escasez, la cual va en busca de objetivos que sirvan de satisfacción a la necesidad presentada. </t>
  </si>
  <si>
    <t>PROCESO GESTIÓN APOYO ACADÉMICO
PROCESO GESTIÓN BIENES Y SERVICIOS
PROCESO GESTIÓN BIENESTAR UNIVERSITARIO
PROCESO GESTIÓN CIENCIA, TECNOLOGÍA E INNOVACIÓN
PROCESO GESTIÓN CONTROL DISCIPLINARIO
PROCESO GESTIÓN DIALOGANDO CON EL MUNDO
PROCESO GESTIÓN FINANCIERA
PROCESO GESTIÓN FORMACIÓN Y APRENDIZAJE 
PROCESO GESTIÓN GRADUADOS
PROCESO GESTIÓN SERVICIO DE ATENCIÓN AL CIUDADANO</t>
  </si>
  <si>
    <t>PROCESO GESTIÓN APOYO ACADÉMICO
PROCESO GESTIÓN BIENESTAR UNIVERSITARIO
PROCESO GESTIÓN CIENCIA, TECNOLOGÍA E INNOVACIÓN
PROCESO GESTIÓN COMUNICACIONES
PROCESO GESTIÓN DIALOGANDO CON EL MUNDO
PROCESO GESTIÓN FINANCIERA
PROCESO GESTIÓN GRADUADOS
PROCESO GESTIÓN INTERACCIÓN UNIVERSITARIA
PROCESO GESTIÓN SERVICIO DE ATENCIÓN AL CIUDADANO
PROCESO GESTIÓN SISTEMAS Y TECNOLOGÍA
PROCESO GESTIÓN TALENTO HUMANO</t>
  </si>
  <si>
    <t xml:space="preserve">SEGURIDAD  </t>
  </si>
  <si>
    <t>Es la protección que se le proporciona a una sociedad, siendo un derecho fundamental.</t>
  </si>
  <si>
    <t>PROCESO GESTIÓN ADMISIONES Y REGISTRO
PROCESO GESTIÓN BIENES Y SERVICIOS
PROCESO GESTIÓN BIENESTAR UNIVERSITARIO
PROCESO GESTIÓN COMUNICACIONES
PROCESO GESTIÓN CONTROL INTERNO
PROCESO GESTIÓN DOCUMENTAL
PROCESO GESTIÓN FORMACIÓN Y APRENDIZAJE 
PROCESO GESTIÓN JURÍDICA
PROCESO GESTIÓN SISTEMAS INTEGRADOS</t>
  </si>
  <si>
    <t xml:space="preserve">MEDIOS DE COMUNICACIÓN </t>
  </si>
  <si>
    <t>Se relaciona con la utilización de mecanismos para transmitir información veraz y oportuna.</t>
  </si>
  <si>
    <t>PROCESO GESTIÓN ADMISIONES Y REGISTRO
PROCESO GESTIÓN BIENESTAR UNIVERSITARIO</t>
  </si>
  <si>
    <t>PROCESO GESTIÓN COMUNICACIONES
PROCESO GESTIÓN CONTROL DISCIPLINARIO</t>
  </si>
  <si>
    <t xml:space="preserve">CULTURA  </t>
  </si>
  <si>
    <t>Esta relacionado a costumbres, hábitos, valores y creencias que pueden determinando el comportamiento de un individuo dentro de la sociedad.</t>
  </si>
  <si>
    <t>PROCESO GESTIÓN ADMISIONES Y REGISTRO
PROCESO GESTIÓN APOYO ACADÉMICO
PROCESO GESTIÓN BIENES Y SERVICIOS
PROCESO GESTIÓN BIENESTAR UNIVERSITARIO
PROCESO GESTIÓN COMUNICACIONES
PROCESO GESTIÓN INTERACCIÓN UNIVERSITARIA
PROCESO GESTIÓN SERVICIO DE ATENCIÓN AL CIUDADANO
PROCESO GESTIÓN SISTEMAS Y TECNOLOGÍA
PROCESO GESTIÓN TALENTO HUMANO</t>
  </si>
  <si>
    <t>PROCESO GESTIÓN AUTOEVALUACIÓN Y ACREDITACIÓN 
PROCESO GESTIÓN SERVICIO DE ATENCIÓN AL CIUDADANO</t>
  </si>
  <si>
    <t> Protección y confidencialidad de la información sensible y los sistemas de información para el acceso, utilización y divulgación.</t>
  </si>
  <si>
    <t>PROCESO GESTIÓN ADMISIONES Y REGISTRO
PROCESO GESTIÓN CIENCIA, TECNOLOGÍA E INNOVACIÓN
PROCESO GESTIÓN COMUNICACIONES
PROCESO GESTIÓN CONTROL DISCIPLINARIO
PROCESO GESTIÓN CONTROL INTERNO
PROCESO GESTIÓN DOCUMENTAL
PROCESO GESTIÓN FORMACIÓN Y APRENDIZAJE 
PROCESO GESTIÓN GRADUADOS
PROCESO GESTIÓN SISTEMAS Y TECNOLOGÍA</t>
  </si>
  <si>
    <t>Posibilidad de tener acceso a información, datos y plataformas vía internet, a través de medios tecnológicos.</t>
  </si>
  <si>
    <t>PROCESO GESTIÓN ADMISIONES Y REGISTRO
PROCESO GESTIÓN APOYO ACADÉMICO
PROCESO GESTIÓN CONTROL DISCIPLINARIO
PROCESO GESTIÓN CONTROL INTERNO
PROCESO GESTIÓN FINANCIERA
PROCESO GESTIÓN FORMACIÓN Y APRENDIZAJE 
PROCESO GESTIÓN SERVICIO DE ATENCIÓN AL CIUDADANO
PROCESO GESTIÓN SISTEMAS INTEGRADOS</t>
  </si>
  <si>
    <t>PROCESO GESTIÓN AUTOEVALUACIÓN Y ACREDITACIÓN 
PROCESO GESTIÓN COMUNICACIONES
PROCESO GESTIÓN DE PROYECTOS ESPECIALES Y RELACIONES INTERINSTITUCIONALES
PROCESO GESTIÓN DIALOGANDO CON EL MUNDO
PROCESO GESTIÓN FORMACIÓN Y APRENDIZAJE 
PROCESO GESTIÓN GRADUADOS
PROCESO GESTIÓN SISTEMAS Y TECNOLOGÍA
PROCESO GESTIÓN TALENTO HUMANO</t>
  </si>
  <si>
    <t>Proceso evolutivo de creación de herramientas e información tecnológica que favorecen los procesos</t>
  </si>
  <si>
    <t>PROCESO GESTIÓN BIENES Y SERVICIOS
PROCESO GESTIÓN SISTEMAS Y TECNOLOGÍA
PROCESO GESTIÓN COMUNICACIONES
PROCESO GESTIÓN DOCUMENTAL
PROCESO GESTIÓN FINANCIERA
PROCESO GESTIÓN INTERACCIÓN UNIVERSITARIA
PROCESO GESTIÓN SERVICIO DE ATENCIÓN AL CIUDADANO
PROCESO GESTIÓN SISTEMAS INTEGRADOS
PROCESO GESTIÓN SISTEMAS Y TECNOLOGÍA</t>
  </si>
  <si>
    <t>Se refiere al conjunto de condiciones ambientales, desastres y catástrofes naturales, caracterizado por los estados del tiempo.</t>
  </si>
  <si>
    <t>PROCESO GESTIÓN ADMISIONES Y REGISTRO
PROCESO GESTIÓN BIENES Y SERVICIOS
PROCESO GESTIÓN BIENESTAR UNIVERSITARIO
PROCESO GESTIÓN COMUNICACIONES
PROCESO GESTIÓN CONTROL INTERNO
PROCESO GESTIÓN DOCUMENTAL
PROCESO GESTIÓN PLANEACIÓN INSTITUCIONAL
PROCESO GESTIÓN SERVICIO DE ATENCIÓN AL CIUDADANO
PROCESO GESTIÓN SISTEMAS INTEGRADOS
PROCESO GESTIÓN SISTEMAS Y TECNOLOGÍA
PROCESO GESTIÓN TALENTO HUMANO</t>
  </si>
  <si>
    <t xml:space="preserve">PATOGENOS EXTERNOS </t>
  </si>
  <si>
    <t>Se relaciona al brote de enfermedades, que afectan la salud de los seres vivos.</t>
  </si>
  <si>
    <t>PROCESO GESTIÓN CIENCIA, TECNOLOGÍA E INNOVACIÓN
PROCESO GESTIÓN CONTROL INTERNO
PROCESO GESTIÓN DIALOGANDO CON EL MUNDO
PROCESO GESTIÓN FINANCIERA
PROCESO GESTIÓN GRADUADOS
PROCESO GESTIÓN TALENTO HUMANO</t>
  </si>
  <si>
    <t xml:space="preserve">CONFIABILIDAD </t>
  </si>
  <si>
    <t>Hace referencia a la credibilidad que posee un dispositivo, sistema, y un ente.</t>
  </si>
  <si>
    <t>Conjunto de medidas, normas, objetivos y directrices encaminados al logro de un mismo fin.</t>
  </si>
  <si>
    <t>PROCESO GESTIÓN APOYO ACADÉMICO
PROCESO GESTIÓN JURÍDICA
PROCESO GESTIÓN SISTEMAS INTEGRADOS</t>
  </si>
  <si>
    <t>PROCESO GESTIÓN AUTOEVALUACIÓN Y ACREDITACIÓN 
PROCESO GESTIÓN BIENESTAR UNIVERSITARIO
PROCESO GESTIÓN FORMACIÓN Y APRENDIZAJE 
PROCESO GESTIÓN GRADUADOS
PROCESO GESTIÓN SISTEMAS INTEGRADOS
PROCESO GESTIÓN BIENES Y SERVICIOS</t>
  </si>
  <si>
    <t xml:space="preserve">ENTES DE CONTROL </t>
  </si>
  <si>
    <t xml:space="preserve">Se relación a temas de control, vigilancia e inspección. </t>
  </si>
  <si>
    <t>PROCESO GESTIÓN CONTROL DISCIPLINARIO
PROCESO GESTIÓN CONTROL INTERNO
PROCESO GESTIÓN SISTEMAS INTEGRADOS</t>
  </si>
  <si>
    <t xml:space="preserve">CONTINUIDAD DE PROCESOS </t>
  </si>
  <si>
    <t>Se relaciona temas de congestión e interrupción de los procesos y procedimientos que afecta los tiempos de su desarrollo.</t>
  </si>
  <si>
    <t>PROCESO GESTIÓN BIENESTAR UNIVERSITARIO
PROCESO GESTIÓN CIENCIA, TECNOLOGÍA E INNOVACIÓN
PROCESO GESTIÓN CONTROL DISCIPLINARIO
PROCESO GESTIÓN DIALOGANDO CON EL MUNDO
PROCESO GESTIÓN DOCUMENTAL
PROCESO GESTIÓN FINANCIERA
PROCESO GESTIÓN FORMACIÓN Y APRENDIZAJE 
PROCESO GESTIÓN INTERACCIÓN UNIVERSITARIA
PROCESO GESTIÓN JURÍDICA
PROCESO GESTIÓN TALENTO HUMANO</t>
  </si>
  <si>
    <t xml:space="preserve">NORMATIVIDAD </t>
  </si>
  <si>
    <t>Se relación al conjunto de normas, reglas, o leyes que son de estricto cumplimiento.</t>
  </si>
  <si>
    <t>PROCESO GESTIÓN APOYO ACADÉMICO
PROCESO GESTIÓN AUTOEVALUACIÓN Y ACREDITACIÓN
PROCESO GESTIÓN BIENES Y SERVICIOS
PROCESO GESTIÓN BIENESTAR UNIVERSITARIO
PROCESO GESTIÓN CIENCIA, TECNOLOGÍA E INNOVACIÓN
PROCESO GESTIÓN COMUNICACIONES
PROCESO GESTIÓN DIALOGANDO CON EL MUNDO
PROCESO GESTIÓN DOCUMENTAL
PROCESO GESTIÓN FINANCIERA
PROCESO GESTIÓN GRADUADOS
PROCESO GESTIÓN INTERACCIÓN UNIVERSITARIA
PROCESO GESTIÓN PLANEACIÓN INSTITUCIONAL
PROCESO GESTIÓN SERVICIO DE ATENCIÓN AL CIUDADANO
PROCESO GESTIÓN SISTEMAS INTEGRADOS
PROCESO GESTIÓN SISTEMAS Y TECNOLOGÍA
PROCESO GESTIÓN TALENTO HUMANO</t>
  </si>
  <si>
    <t>PROCESO GESTIÓN CIENCIA, TECNOLOGÍA E INNOVACIÓN
PROCESO GESTIÓN CONTROL INTERNO
PROCESO GESTIÓN DE PROYECTOS ESPECIALES Y RELACIONES INTERINSTITUCIONALES
PROCESO GESTIÓN DOCUMENTAL
PROCESO GESTIÓN FORMACIÓN Y APRENDIZAJE</t>
  </si>
  <si>
    <t>Se relaciona a los bienes y servicios que la universidad esta dispuestas a ofrecer o la oferta que hay en el mercado a fin de que la institución los adquiera</t>
  </si>
  <si>
    <t>PROCESO GESTIÓN BIENES Y SERVICIOS
PROCESO GESTIÓN ADMISIONES Y REGISTRO
PROCESO GESTIÓN APOYO ACADÉMICO
PROCESO GESTIÓN CIENCIA, TECNOLOGÍA E INNOVACIÓN
PROCESO GESTIÓN DE PROYECTOS ESPECIALES Y RELACIONES INTERINSTITUCIONALES
PROCESO GESTIÓN DIALOGANDO CON EL MUNDO
PROCESO GESTIÓN FORMACIÓN Y APRENDIZAJE 
PROCESO GESTIÓN GRADUADOS
PROCESO GESTIÓN SERVICIO DE ATENCIÓN AL CIUDADANO
PROCESO GESTIÓN SISTEMAS INTEGRADOS</t>
  </si>
  <si>
    <t>se relaciona  a las necesidades que la sociedad esta dispuesta a adquirir (bienes y servicios).</t>
  </si>
  <si>
    <t>PROCESO GESTIÓN DIALOGANDO CON EL MUNDO
PROCESO GESTIÓN SISTEMAS INTEGRADOS</t>
  </si>
  <si>
    <t>PROCESO GESTIÓN FORMACIÓN Y APRENDIZAJE 
PROCESO GESTIÓN GRADUADOS
PROCESO GESTIÓN INTERACCIÓN UNIVERSITARIA</t>
  </si>
  <si>
    <t xml:space="preserve">Referencia al buen desempeño y labor de la universidad en la ejecución de sus actividades, como de la celebración de convenios con entidades publicas y privadas que determina su posicionamiento en el mercado </t>
  </si>
  <si>
    <t>PROCESO GESTIÓN COMUNICACIONES
PROCESO GESTIÓN DE PROYECTOS ESPECIALES Y RELACIONES INTERINSTITUCIONALES</t>
  </si>
  <si>
    <t>PROCESO GESTIÓN APOYO ACADÉMICO
PROCESO GESTIÓN AUTOEVALUACIÓN Y ACREDITACIÓN 
PROCESO GESTIÓN BIENES Y SERVICIOS
PROCESO GESTIÓN CIENCIA, TECNOLOGÍA E INNOVACIÓN
PROCESO GESTIÓN COMUNICACIONES
PROCESO GESTIÓN DIALOGANDO CON EL MUNDO
PROCESO GESTIÓN FORMACIÓN Y APRENDIZAJE 
PROCESO GESTIÓN GRADUADOS
PROCESO GESTIÓN INTERACCIÓN UNIVERSITARIA
PROCESO GESTIÓN PLANEACIÓN INSTITUCIONAL</t>
  </si>
  <si>
    <t>Se relaciona a la libertad de ofrecer bienes y servicios de calidad y la relación que se tiene con los demás ofertantes.</t>
  </si>
  <si>
    <t xml:space="preserve">PROCESO GESTIÓN CIENCIA, TECNOLOGÍA E INNOVACIÓN
PROCESO GESTIÓN DE PROYECTOS ESPECIALES Y RELACIONES INTERINSTITUCIONALES
PROCESO GESTIÓN FORMACIÓN Y APRENDIZAJE </t>
  </si>
  <si>
    <t>PROCESO GESTIÓN CIENCIA, TECNOLOGÍA E INNOVACIÓN
PROCESO GESTIÓN DIALOGANDO CON EL MUNDO</t>
  </si>
  <si>
    <t xml:space="preserve">PROCESO GESTIÓN BIENESTAR UNIVERSITARIO
PROCESO GESTIÓN DE PROYECTOS ESPECIALES Y RELACIONES INTERINSTITUCIONALES
PROCESO GESTIÓN FORMACIÓN Y APRENDIZAJE 
PROCESO GESTIÓN DOCUMENTAL
PROCESO GESTIÓN SISTEMAS Y TECNOLOGÍA
PROCESO GESTIÓN JURÍDICA
PROCESO GESTIÓN BIENES Y SERVICIOS
PROCESO GESTIÓN CIENCIA, TECNOLOGÍA E INNOVACIÓN
</t>
  </si>
  <si>
    <t>GESTIÓN ADMISIONES Y REGISTRO
GESTIÓN APOYO ACADEMICO
GESTIÓN COMUNICACIONES
GESTIÓN CONTROL DISCIPLINARIO
GESTIÓN DE BIENES Y SERVICIOS
PROCESO DE SISTEMAS Y TECNOLOGÍA
PROCESO FINANCIERO
PROCESO GESTION DOCUMENTAL
PROCESO GESTION INTERACCION UNIVERSITARIA
PROCESO GESTIÓN TALENTO HUMANO
PROCESO PLANEACIÓN INSTITUCIONAL
SERVICIO DE ATENCIÓN AL CIUDADANO
SISTEMAS INTEGRADOS DE GESTIÓN
PROCESO FORMACION Y APRENDIZAJE 
PROCESO BIENESTAR UNIVERSITARIO 
PROCESO DE PROYECTOS ESPECIALES
PROCESO AUTOEVALUACION Y ACREDITACION
PROCESO GRADUADOS</t>
  </si>
  <si>
    <t xml:space="preserve">PROCESO GESTIÓN BIENESTAR UNIVERSITARIO
PROCESO GESTIÓN SISTEMAS INTEGRADOS
PROCESO GESTIÓN INTERACCIÓN UNIVERSITARIA
PROCESO GESTIÓN SISTEMAS Y TECNOLOGÍA
PROCESO GESTIÓN JURÍDICA
 </t>
  </si>
  <si>
    <t>GESTIÓN ADMISIONES Y REGISTRO
PROCESO FINANCIERO</t>
  </si>
  <si>
    <t xml:space="preserve">PROCESO GESTIÓN TALENTO HUMANO
PROCESO GESTIÓN GRADUADOS 
PROCESO GESTIÓN AUTOEVALUACIÓN Y ACREDITACIÓN
PROCESO GESTIÓN APOYO ACADÉMICO
PROCESO GESTIÓN FORMACIÓN Y APRENDIZAJE
PROCESO GESTIÓN SISTEMAS INTEGRADOS
PROCESO GESTIÓN SISTEMAS Y TECNOLOGÍA
PROCESO GESTIÓN CONTROL DISCIPLINARIO 
PROCESO GESTIÓN CIENCIA, TECNOLOGÍA E INNOVACIÓN
</t>
  </si>
  <si>
    <t>CIENCIA, TECNOLOGÍA E INNOVACIÓN
CONTROL INTERNO
GESTIÓN DE BIENES Y SERVICIOS
PROCESO GESTION DOCUMENTAL
SISTEMAS INTEGRADOS DE GESTIÓN
PROCESO FORMACION Y APRENDIZAJE 
PROCESO BIENESTAR UNIVERSITARIO</t>
  </si>
  <si>
    <t>PROCESO GESTIÓN TALENTO HUMANO
PROCESO GESTIÓN BIENESTAR UNIVERSITARIO
PROCESO GESTIÓN AUTOEVALUACIÓN Y ACREDITACIÓN
PROCESO GESTIÓN DE PROYECTOS ESPECIALES Y RELACIONES INTERINSTITUCIONALES
PROCESO GESTIÓN APOYO ACADÉMICO
PROCESO GESTIÓN FORMACIÓN Y APRENDIZAJE
PROCESO GESTIÓN SISTEMAS INTEGRADOS  
PROCESO GESTIÓN SERVICIO DE ATENCIÓN AL CIUDADANO
PROCESO GESTIÓN PLANEACIÓN INSTITUCIONAL
PROCESO GESTIÓN INTERACCIÓN UNIVERSITARIA
PROCESO GESTIÓN FINANCIERA
PROCESO GESTIÓN SISTEMAS Y TECNOLOGÍA
PROCESO GESTIÓN JURÍDICA
PROCESO GESTIÓN BIENES Y SERVICIOS
PROCESO GESTIÓN CONTROL DISCIPLINARIO
PROCESO GESTIÓN ADMISIONES Y REGISTRO
PROCESO GESTIÓN CONTROL INTERNO
PROCESO GESTIÓN CIENCIA, TECNOLOGÍA E INNOVACIÓN</t>
  </si>
  <si>
    <t>GESTIÓN DE BIENES Y SERVICIOS</t>
  </si>
  <si>
    <t>PROCESO GESTIÓN TALENTO HUMANO
PROCESO GESTIÓN BIENESTAR UNIVERSITARIO
PROCESO GESTIÓN GRADUADOS 
PROCESO GESTIÓN APOYO ACADÉMICO
PROCESO GESTIÓN FORMACIÓN Y APRENDIZAJE 
PROCESO GESTIÓN INTERACCIÓN UNIVERSITARIA
PROCESO GESTIÓN DOCUMENTAL
PROCESO GESTIÓN SISTEMAS Y TECNOLOGÍA
PROCESO GESTIÓN BIENES Y SERVICIOS
PROCESO GESTIÓN ADMISIONES Y REGISTRO
PROCESO GESTIÓN CONTROL INTERNO</t>
  </si>
  <si>
    <t>CIENCIA, TECNOLOGÍA E INNOVACIÓN
GESTIÓN APOYO ACADEMICO
SERVICIO DE ATENCIÓN AL CIUDADANO</t>
  </si>
  <si>
    <t>PROCESO GESTIÓN APOYO ACADÉMICO
PROCESO GESTIÓN FORMACIÓN Y APRENDIZAJE 
PROCESO GESTIÓN SERVICIO DE ATENCIÓN AL CIUDADANO
PROCESO GESTIÓN JURÍDICA
PROCESO GESTIÓN BIENES Y SERVICIOS
PROCESO GESTIÓN COMUNICACIONES</t>
  </si>
  <si>
    <t>GESTIÓN DE BIENES Y SERVICIOS
PROCESO GESTION DOCUMENTAL
SISTEMAS INTEGRADOS DE GESTIÓN</t>
  </si>
  <si>
    <t>PROCESO GESTIÓN TALENTO HUMANO
PROCESO GESTIÓN DOCUMENTAL</t>
  </si>
  <si>
    <t>GESTIÓN CONTROL DISCIPLINARIO</t>
  </si>
  <si>
    <t>PROCESO GESTIÓN TALENTO HUMANO
PROCESO GESTIÓN APOYO ACADÉMICO
PROCESO GESTIÓN SERVICIO DE ATENCIÓN AL CIUDADANO
PROCESO GESTIÓN INTERACCIÓN UNIVERSITARIA
PROCESO GESTIÓN DOCUMENTAL
PROCESO GESTIÓN FINANCIERA
PROCESO GESTIÓN BIENES Y SERVICIOS
PROCESO GESTIÓN CONTROL DISCIPLINARIO
PROCESO GESTIÓN COMUNICACIONES
PROCESO GESTIÓN ADMISIONES Y REGISTRO
PROCESO GESTIÓN CONTROL INTERNO
PROCESO GESTIÓN CIENCIA, TECNOLOGÍA E INNOVACIÓN</t>
  </si>
  <si>
    <t>CIENCIA, TECNOLOGÍA E INNOVACIÓN
GESTIÓN ADMISIONES Y REGISTRO
GESTIÓN APOYO ACADÉMICO
GESTIÓN COMUNICACIONES
GESTIÓN DE BIENES Y SERVICIOS
PROCESO GESTION INTERACCION UNIVERSITARIA
PROCESO PLANEACIÓN INSTITUCIONAL</t>
  </si>
  <si>
    <t xml:space="preserve">PROCESO DE SISTEMAS Y TECNOLOGÍA
PROCESO GESTION DOCUMENTAL
GESTIÓN ADMISIONES Y REGISTRO
</t>
  </si>
  <si>
    <t>GESTIÓN APOYO ACADÉMICO 
PROCESO DE SISTEMAS Y TECNOLOGÍA</t>
  </si>
  <si>
    <t>c</t>
  </si>
  <si>
    <t>GESTIÓN COMUNICACIONES
GESTIÓN DE BIENES Y SERVICIOS
PROCESO GESTION DOCUMENTAL</t>
  </si>
  <si>
    <t>GESTIÓN COMUNICACIONES
GESTIÓN CONTROL DISCIPLINARIO
PROCESO DE SISTEMAS Y TECNOLOGÍA
PROCESO GESTION DOCUMENTAL
SISTEMAS INTEGRADOS DE GESTIÓN
PROCESO PROYECTOS ESPECIALES 
PROCESO AUTOEVALUACION Y ACREDITACION</t>
  </si>
  <si>
    <t>CIENCIA, TECNOLOGÍA E INNOVACIÓN
GESTIÓN ADMISIONES Y REGISTRO
GESTIÓN APOYO ACADÉMICO 
GESTIÓN COMUNICACIONES
SERVICIO DE ATENCIÓN AL CIUDADANO
PROCESO BIENESTAR UNIVERSITARIO 
PROCESO GRADUADOS</t>
  </si>
  <si>
    <t>PROCESO GESTION DOCUMENTAL
GESTIÓN ADMISIONES Y REGISTRO
PROCESO BIENESTAR UNIVERSITARIO</t>
  </si>
  <si>
    <t>GESTIÓN APOYO ACADÉMICO 
GESTIÓN COMUNICACIONES
GESTIÓN CONTROL DISCIPLINARIO
PROCESO PLANEACIÓN INSTITUCIONAL</t>
  </si>
  <si>
    <t>GESTIÓN APOYO ACADÉMICO
PROCESO DE SISTEMAS Y TECNOLOGÍA
PROCESO PROYECTOS ESPECIALES</t>
  </si>
  <si>
    <t>CIENCIA, TECNOLOGÍA E INNOVACIÓN
SERVICIO DE ATENCIÓN AL CIUDADANO
SISTEMAS INTEGRADOS DE GESTIÓN
GESTIÓN ADMISIONES Y REGISTRO
PROCESO GESTIÓN TALENTO HUMANO</t>
  </si>
  <si>
    <t>GESTIÓN COMUNICACIONES
GESTIÓN DE BIENES Y SERVICIOS
PROCESO GESTION INTERACCION UNIVERSITARIA
PROCESO PLANEACIÓN INSTITUCIONAL
SERVICIO DE ATENCIÓN AL CIUDADANO
GESTIÓN ADMISIONES Y REGISTRO
PROCESO PROYECTOS ESPECIALES 
PROCESO BIENESTAR UNIVERSITARIO
PROCESO GRADUADOS</t>
  </si>
  <si>
    <t>CONTROL INTERNO
PROCESO DE SISTEMAS Y TECNOLOGÍA
PROCESO GESTION DOCUMENTAL
PROCESO GESTIÓN TALENTO HUMANO
PROCESO FORMACION Y APRENDIZAJE</t>
  </si>
  <si>
    <t>CIENCIA, TECNOLOGÍA E INNOVACIÓN
GESTIÓN CONTROL DISCIPLINARIO
PROCESO FORMACION Y APRENDIZAJE</t>
  </si>
  <si>
    <t xml:space="preserve">GESTIÓN DE BIENES Y SERVICIOS
PROCESO FINANCIERO
</t>
  </si>
  <si>
    <t>PROCESO GESTION DOCUMENTAL
PROCESO AUTOEVALUACION Y ACREDITACION</t>
  </si>
  <si>
    <t>CIENCIA, TECNOLOGÍA E INNOVACIÓN</t>
  </si>
  <si>
    <t>CONTROL INTERNO</t>
  </si>
  <si>
    <t xml:space="preserve">CIENCIA, TECNOLOGÍA E INNOVACIÓN
CONTROL INTERNO
GESTIÓN CONTROL DISCIPLINARIO
GESTIÓN DE BIENES Y SERVICIOS
PROCESO FINANCIERO
PROCESO PLANEACIÓN INSTITUCIONAL
SERVICIO DE ATENCIÓN AL CIUDADANO
GESTIÓN ADMISIONES Y REGISTRO
PROCESO GESTIÓN TALENTO HUMANO
</t>
  </si>
  <si>
    <t>PROCESO GESTIÓN TALENTO HUMANO
PROCESO PLANEACIÓN INSTITUCIONAL</t>
  </si>
  <si>
    <t xml:space="preserve">GESTIÓN CONTROL DISCIPLINARIO
GESTIÓN DE BIENES Y SERVICIOS
PROCESO GESTION DOCUMENTAL
PROCESO FORMACION Y APRENDIZAJE
</t>
  </si>
  <si>
    <t>GESTIÓN COMUNICACIONES
PROCESO FORMACION Y APRENDIZAJE 
PROCESO BIENESTAR UNIVERSITARIO</t>
  </si>
  <si>
    <t>CONTROL INTERNO
GESTIÓN JURÍDICA
PROCESO GESTION INTERACCION UNIVERSITARIA
PROCESO PLANEACIÓN INSTITUCIONAL
PROCESO GESTIÓN TALENTO HUMANO
PROCESO PROYECTOS ESPECIALES 
PROCESO GRADUADOS</t>
  </si>
  <si>
    <t>PROCESO DE SISTEMAS Y TECNOLOGÍA
PROCESO GESTIÓN TALENTO HUMANO</t>
  </si>
  <si>
    <t>GESTIÓN APOYO ACADÉMICO
PROCESO DE SISTEMAS Y TECNOLOGÍA</t>
  </si>
  <si>
    <t>CIENCIA, TECNOLOGÍA E INNOVACIÓN
GESTIÓN DE BIENES Y SERVICIOS
PROCESO FINANCIERO
PROCESO GESTIÓN TALENTO HUMANO
PROCESO FORMACION Y APRENDIZAJE 
PROCESO GRADUADOS</t>
  </si>
  <si>
    <t>PROCESO DE SISTEMAS Y TECNOLOGÍA
PROCESO AUTOEVALUACION Y ACREDITACION</t>
  </si>
  <si>
    <t>CIENCIA, TECNOLOGÍA E INNOVACIÓN
GESTIÓN APOYO ACADÉMICO
GESTIÓN COMUNICACIONES
GESTIÓN CONTROL DISCIPLINARIO
GESTIÓN DE BIENES Y SERVICIOS
PROCESO FINANCIERO
SISTEMAS INTEGRADOS DE GESTIÓN
PROCESO GESTIÓN TALENTO HUMANO
PROCESO FORMACION Y APRENDIZAJE 
PROCESO BIENESTAR UNIVERSITARIO
PROCESO GRADUADOS</t>
  </si>
  <si>
    <t>GESTIÓN APOYO ACADÉMICO 
PROCESO GESTION INTERACCION UNIVERSITARIA
PROCESO FORMACION Y APRENDIZAJE 
PROCESO BIENESTAR UNIVERSITARIO 
PROCESO DE PROYECTOS ESPECIALES</t>
  </si>
  <si>
    <t xml:space="preserve">PROCESO GESTIÓN TALENTO HUMANO
PROCESO GESTIÓN GRADUADOS 
PROCESO GESTIÓN AUTOEVALUACIÓN Y ACREDITACIÓN
PROCESO GESTIÓN DE PROYECTOS ESPECIALES Y RELACIONES INTERINSTITUCIONALES
PROCESO GESTIÓN APOYO ACADÉMICO
PROCESO GESTIÓN FORMACIÓN Y APRENDIZAJE
PROCESO GESTIÓN SISTEMAS INTEGRADOS  
PROCESO GESTIÓN INTERACCIÓN UNIVERSITARIA
PROCESO GESTIÓN DOCUMENTAL
PROCESO GESTIÓN SISTEMAS Y TECNOLOGÍA
PROCESO GESTIÓN JURÍDICA
PROCESO GESTIÓN BIENES Y SERVICIOS
PROCESO GESTIÓN ADMISIONES Y REGISTRO
</t>
  </si>
  <si>
    <t>CONTROL INTERNO
GESTIÓN ADMISIONES Y REGISTRO
SISTEMAS INTEGRADOS DE GESTIÓN
PROCESO FORMACION Y APRENDIZAJE 
PROCESO BIENESTAR UNIVERSITARIO</t>
  </si>
  <si>
    <t>GESTIÓN COMUNICACIONES
GESTIÓN CONTROL DISCIPLINARIO
PROCESO GESTION INTERACCION UNIVERSITARIA
PROCESO PLANEACIÓN INSTITUCIONAL
PROCESO FORMACION Y APRENDIZAJE 
PROCESO GRADUADOS</t>
  </si>
  <si>
    <t>GESTIÓN ADMISIONES Y REGISTRO
GESTIÓN COMUNICACIONES</t>
  </si>
  <si>
    <t>GESTIÓN APOYO ACADÉMICO
PROCESO FORMACION Y APRENDIZAJE</t>
  </si>
  <si>
    <t>CIENCIA, TECNOLOGÍA E INNOVACIÓN
PROCESO FINANCIERO 
SERVICIO DE ATENCIÓN AL CIUDADANO</t>
  </si>
  <si>
    <t xml:space="preserve">CIENCIA, TECNOLOGÍA E INNOVACIÓN
GESTIÓN JURÍDICA
</t>
  </si>
  <si>
    <t>CIENCIA, TECNOLOGÍA E INNOVACIÓN
GESTIÓN APOYO ACADÉMICO
GESTIÓN COMUNICACIONES
GESTIÓN DE BIENES Y SERVICIOS
GESTIÓN JURÍDICA
PROCESO DE SISTEMAS Y TECNOLOGÍA
PROCESO GESTION INTERACCION UNIVERSITARIA
SERVICIO DE ATENCIÓN AL CIUDADANO
SISTEMAS INTEGRADOS DE GESTIÓN
GESTIÓN ADMISIONES Y REGISTRO
PROCESO GESTIÓN TALENTO HUMANO
PROCESO FORMACION Y APRENDIZAJE 
PROCESO BIENESTAR UNIVERSITARIO
PROCESO GRADUADOS</t>
  </si>
  <si>
    <t>CIENCIA, TECNOLOGÍA E INNOVACIÓN
GESTIÓN CONTROL DISCIPLINARIO
PROCESO GESTION DOCUMENTAL
PROCESO BIENESTAR UNIVERSITARIO</t>
  </si>
  <si>
    <t>PROCESO FORMACION Y APRENDIZAJE 
PROCESO PROYECTOS ESPECIALES</t>
  </si>
  <si>
    <t>PROCESO FORMACION Y APRENDIZAJE 
PROCESO DE PROYECTOS ESPECIALES</t>
  </si>
  <si>
    <t>PROCESO FINANCIERO
PROCESO GESTIÓN TALENTO HUMANO
PROCESO AUTOEVALUACION Y ACREDITACION</t>
  </si>
  <si>
    <t>CONTROL INTERNO
GESTIÓN DE BIENES Y SERVICIOS
PROCESO GESTION DOCUMENTAL
PROCESO GESTIÓN TALENTO HUMANO
SERVICIO DE ATENCIÓN AL CIUDADANO
PROCESO AUTOEVALUACION Y ACREDITACION</t>
  </si>
  <si>
    <t>CONTROL INTERNO
GESTIÓN APOYO ACADÉMICO
GESTIÓN COMUNICACIONES
GESTIÓN DE BIENES Y SERVICIOS
PROCESO DE SISTEMAS Y TECNOLOGÍA
PROCESO FORMACION Y APRENDIZAJE 
PROCESO PROYECTOS ESPECIALES 
PROCESO AUTOEVALUACION Y ACREDITACION</t>
  </si>
  <si>
    <t>CIENCIA, TECNOLOGÍA E INNOVACIÓN
GESTIÓN ADMISIONES Y REGISTRO
PROCESO DE SISTEMAS Y TECNOLOGÍA
PROCESO PLANEACIÓN INSTITUCIONAL
SISTEMAS INTEGRADOS DE GESTIÓN
PROCESO FORMACION Y APRENDIZAJE 
PROCESO DE PROYECTOS ESPECIALES
PROCESO AUTOEVALUACION Y ACREDITACION</t>
  </si>
  <si>
    <t>GESTIÓN DE BIENES Y SERVICIOS
GESTIÓN JURÍDICA
PROCESO FINANCIERO
PROCESO FORMACION Y APRENDIZAJE 
PROCESO BIENESTAR UNIVERSITARIO
PROCESO GRADUADOS</t>
  </si>
  <si>
    <t>PROCESO DE SISTEMAS Y TECNOLOGÍA
PROCESO GESTION DOCUMENTAL
PROCESO GESTION INTERACCION UNIVERSITARIA
PROCESO PLANEACIÓN INSTITUCIONAL
PROCESO FORMACION Y APRENDIZAJE 
PROCESO GRADUADOS</t>
  </si>
  <si>
    <t>CIENCIA, TECNOLOGÍA E INNOVACIÓN
CONTROL INTERNO
GESTIÓN CONTROL DISCIPLINARIO
GESTIÓN DE BIENES Y SERVICIOS
PROCESO FINANCIERO
PROCESO FORMACION Y APRENDIZAJE 
PROCESO AUTOEVALUACION Y ACREDITACION
PROCESO BIENESTAR UNIVERSITARIO
PROCESO GRADUADOS</t>
  </si>
  <si>
    <t>CONTROL INTERNO
GESTIÓN ADMISIONES Y REGISTRO
GESTIÓN COMUNICACIONES
GESTIÓN JURÍDICA
PROCESO DE SISTEMAS Y TECNOLOGÍA
PROCESO GESTION INTERACCION UNIVERSITARIA
PROCESO GESTIÓN TALENTO HUMANO
PROCESO PLANEACIÓN INSTITUCIONAL
SERVICIO DE ATENCIÓN AL CIUDADANO
SISTEMAS INTEGRADOS DE GESTIÓN
PROCESO FORMACION Y APRENDIZAJE 
PROCESO BIENESTAR UNIVERSITARIO 
PROCESO DE PROYECTOS ESPECIALES
PROCESO AUTOEVALUACION Y ACREDITACION</t>
  </si>
  <si>
    <t>PROCESO PLANEACIÓN INSTITUCIONAL</t>
  </si>
  <si>
    <t>CIENCIA, TECNOLOGÍA E INNOVACIÓN
PROCESO GESTION INTERACCION UNIVERSITARIA
PROCESO PLANEACIÓN INSTITUCIONAL
SISTEMAS INTEGRADOS DE GESTIÓN
PROCESO FORMACION Y APRENDIZAJE 
PROCESO GRADUADOS</t>
  </si>
  <si>
    <t>CIENCIA, TECNOLOGÍA E INNOVACIÓN
PROCESO PLANEACIÓN INSTITUCIONAL
PROCESO DE PROYECTOS ESPECIALES
PROCESO GRADUADOS</t>
  </si>
  <si>
    <t>CIENCIA, TECNOLOGÍA E INNOVACIÓN
CONTROL INTERNO
PROCESO GESTION INTERACCION UNIVERSITARIA
PROCESO PLANEACIÓN INSTITUCIONAL
PROCESO FORMACION Y APRENDIZAJE 
PROCESO DE PROYECTOS ESPECIALES</t>
  </si>
  <si>
    <t>SISTEMAS INTEGRADOS DE GESTIÓN</t>
  </si>
  <si>
    <t>PROCESO GESTION DOCUMENTAL</t>
  </si>
  <si>
    <t>CONTROL INTERNO
PROCESO PLANEACIÓN INSTITUCIONAL
PROCESO FORMACION Y APRENDIZAJE
PROCESO DE PROYECTOS ESPECIALES</t>
  </si>
  <si>
    <t>.</t>
  </si>
  <si>
    <t>GESTIÓN APOYO ACADÉMICO
GESTIÓN COMUNICACIONES
GESTIÓN DE BIENES Y SERVICIOS
GESTIÓN JURÍDICA
PROCESO DE SISTEMAS Y TECNOLOGÍA
PROCESO FINANCIERO
PROCESO GESTION INTERACCION UNIVERSITARIA
PROCESO PLANEACIÓN INSTITUCIONAL
SERVICIO DE ATENCIÓN AL CIUDADANO
SISTEMAS INTEGRADOS DE GESTIÓN
PROCESO FORMACION Y APRENDIZAJE 
PROCESO BIENESTAR UNIVERSITARIO
GESTIÓN ADMISIONES Y REGISTRO
PROCESO GESTIÓN TALENTO HUMANO
PROCESO GRADUADOS</t>
  </si>
  <si>
    <t>GESTIÓN DE BIENES Y SERVICIOS
PROCESO FINANCIERO
PROCESO FORMACION Y APRENDIZAJE</t>
  </si>
  <si>
    <t>PROCESO FINANCIERO</t>
  </si>
  <si>
    <t>CIENCIA, TECNOLOGÍA E INNOVACIÓN
GESTIÓN APOYO ACADÉMICO
GESTIÓN COMUNICACIONES
PROCESO FINANCIERO
PROCESO PLANEACIÓN INSTITUCIONAL
SISTEMAS INTEGRADOS DE GESTIÓN
PROCESO GESTIÓN TALENTO HUMANO
PROCESO FORMACION Y APRENDIZAJE
PROCESO GRADUADOS</t>
  </si>
  <si>
    <t>PROCESO FINANCIERO
PROCESO GESTION DOCUMENTAL</t>
  </si>
  <si>
    <t>CIENCIA, TECNOLOGÍA E INNOVACIÓN
GESTIÓN ADMISIONES Y REGISTRO
GESTIÓN APOYO ACADÉMICO
SERVICIO DE ATENCIÓN AL CIUDADANO
GESTION DE APOYO ACADÉMICO
PROCESO FORMACION Y APRENDIZAJE
PROCESO BIENESTAR UNIVERSITARIO
PROCESO GRADUADOS</t>
  </si>
  <si>
    <t>CIENCIA, TECNOLOGÍA E INNOVACIÓN
GESTIÓN APOYO ACADÉMICO
GESTIÓN DE BIENES Y SERVICIOS
PROCESO GESTION INTERACCION UNIVERSITARIA
SISTEMAS INTEGRADOS DE GESTIÓN
PROCESO FORMACION Y APRENDIZAJE 
GESTIÓN ADMISIONES Y REGISTRO
PROCESO GESTIÓN TALENTO HUMANO
PROCESO DE PROYECTOS ESPECIALES</t>
  </si>
  <si>
    <t>GESTIÓN COMUNICACIONES
PROCESO BIENESTAR UNIVERSITARIO</t>
  </si>
  <si>
    <t>GESTIÓN COMUNICACIONES
PROCESO DE SISTEMAS Y TECNOLOGÍA
PROCESO AUTOEVALUACION Y ACREDITACION</t>
  </si>
  <si>
    <t>GESTIÓN COMUNICACIONES
GESTIÓN DE BIENES Y SERVICIOS</t>
  </si>
  <si>
    <t>GESTIÓN ADMISIONES Y REGISTRO
GESTIÓN DE BIENES Y SERVICIOS
PROCESO DE SISTEMAS Y TECNOLOGÍA
SISTEMAS INTEGRADOS DE GESTIÓN
PROCESO GESTIÓN TALENTO HUMANO
PROCESO BIENESTAR UNIVERSITARIO
PROCESO GRADUADOS</t>
  </si>
  <si>
    <t>CONTROL INTERNO
GESTIÓN ADMISIONES Y REGISTRO
GESTIÓN COMUNICACIONES
PROCESO DE SISTEMAS Y TECNOLOGÍA
PROCESO GESTION DOCUMENTAL
SISTEMAS INTEGRADOS DE GESTIÓN
PROCESO GRADUADOS</t>
  </si>
  <si>
    <t>GESTIÓN ADMISIONES Y REGISTRO
GESTIÓN COMUNICACIONES
PROCESO AUTOEVALUACION Y ACREDITACION</t>
  </si>
  <si>
    <t>GESTIÓN COMUNICACIONES
GESTIÓN DE BIENES Y SERVICIOS
PROCESO FORMACION Y APRENDIZAJE 
PROCESO GESTIÓN TALENTO HUMANO
PROCESO DE PROYECTOS ESPECIALES 
PROCESO AUTOEVALUACION Y ACREDITACION</t>
  </si>
  <si>
    <t>GESTIÓN APOYO ACADÉMICO</t>
  </si>
  <si>
    <t>GESTIÓN APOYO ACADÉMICO
GESTIÓN DE BIENES Y SERVICIOS
PROCESO DE SISTEMAS Y TECNOLOGÍA</t>
  </si>
  <si>
    <t>GESTIÓN ADMISIONES Y REGISTRO
PROCESO GESTION DOCUMENTAL
SERVICIO DE ATENCIÓN AL CIUDADANO
PROCESO GESTIÓN TALENTO HUMANO
PROCESO GRADUADOS</t>
  </si>
  <si>
    <t xml:space="preserve">PROCESO FORMACION Y APRENDIZAJE </t>
  </si>
  <si>
    <t>PROCESO DE PROYECTOS ESPECIALES</t>
  </si>
  <si>
    <t>CONTROL INTERNO
GESTIÓN APOYO ACADÉMICO
PROCESO DE SISTEMAS Y TECNOLOGÍA
PROCESO FINANCIERO
PROCESO GESTION INTERACCION UNIVERSITARIA
PROCESO FORMACION Y APRENDIZAJE
PROCESO AUTOEVALUACION Y ACREDITACION</t>
  </si>
  <si>
    <t>PROCESO PLANEACIÓN INSTITUCIONAL
SISTEMAS INTEGRADOS DE GESTIÓN
PROCESO FORMACION Y APRENDIZAJE 
PROCESO AUTOEVALUACION Y ACREDITACION 
PROCESO GRADUADOS</t>
  </si>
  <si>
    <t>CONTROL INTERNO
GESTIÓN CONTROL DISCIPLINARIO
PROCESO FINANCIERO
SISTEMAS INTEGRADOS DE GESTIÓN
PROCESO GRADUADOS</t>
  </si>
  <si>
    <t>CONTROL INTERNO
GESTIÓN CONTROL DISCIPLINARIO</t>
  </si>
  <si>
    <t>GESTIÓN CONTROL DISCIPLINARIO
GESTIÓN JURÍDICA</t>
  </si>
  <si>
    <t>CONTROL INTERNO
GESTIÓN APOYO ACADÉMICO
GESTIÓN DE BIENES Y SERVICIOS
PROCESO PLANEACIÓN INSTITUCIONAL
SERVICIO DE ATENCIÓN AL CIUDADANO
SISTEMAS INTEGRADOS DE GESTIÓN
PROCESO GESTIÓN TALENTO HUMANO
PROCESO FORMACION Y APRENDIZAJE
PROCESO DE PROYECTOS ESPECIALES
PROCESO AUTOEVALUACION Y ACREDITACION 
PROCESO GRADUADOS</t>
  </si>
  <si>
    <t>CONTROL INTERNO
GESTIÓN DE BIENES Y SERVICIOS
PROCESO GESTION DOCUMENTAL
SERVICIO DE ATENCIÓN AL CIUDADANO
SISTEMAS INTEGRADOS DE GESTIÓN
GESTIÓN ADMISIONES Y REGISTRO
PROCESO GESTIÓN TALENTO HUMANO
PROCESO DE PROYECTOS ESPECIALES</t>
  </si>
  <si>
    <t>PROCESO GESTION INTERACCION UNIVERSITARIA
PROCESO PLANEACIÓN INSTITUCIONAL
PROCESO FORMACION Y APRENDIZAJE</t>
  </si>
  <si>
    <t>CIENCIA, TECNOLOGÍA E INNOVACIÓN
CONTROL INTERNO
GESTIÓN APOYO ACADÉMICO
SISTEMAS INTEGRADOS DE GESTIÓN
PROCESO DE PROYECTOS ESPECIALES</t>
  </si>
  <si>
    <t>PROCESO GESTION INTERACCION UNIVERSITARIA
PROCESO FORMACION Y APRENDIZAJE 
GESTIÓN ADMISIONES Y REGISTRO
PROCESO GRADUADOS</t>
  </si>
  <si>
    <t>PROCESO GESTION INTERACCION UNIVERSITARIA
SISTEMAS INTEGRADOS DE GESTIÓN
PROCESO DE PROYECTOS ESPECIALES</t>
  </si>
  <si>
    <t>CIENCIA, TECNOLOGÍA E INNOVACIÓN
GESTIÓN APOYO ACADÉMICO
GESTIÓN COMUNICACIONES
PROCESO GESTION INTERACCION UNIVERSITARIA
PROCESO PLANEACIÓN INSTITUCIONAL</t>
  </si>
  <si>
    <t>CIENCIA, TECNOLOGÍA E INNOVACIÓN
CONTROL INTERNO
GESTIÓN DE BIENES Y SERVICIOS
PROCESO GESTION INTERACCION UNIVERSITARIA
SERVICIO DE ATENCIÓN AL CIUDADANO
PROCESO FORMACION Y APRENDIZAJE 
GESTIÓN ADMISIONES Y REGISTRO
PROCESO DE PROYECTOS ESPECIALES 
PROCESO AUTOEVALUACION Y ACREDITACION 
PROCESO GRADUADOS</t>
  </si>
  <si>
    <t xml:space="preserve">FACTOR </t>
  </si>
  <si>
    <t>CLASIFICACION</t>
  </si>
  <si>
    <t>SUBCLASIFICACION</t>
  </si>
  <si>
    <t>RIESGO</t>
  </si>
  <si>
    <t>D1. Dependencia de otras áreas para la ejecución de las actividades del proceso que generan retrasos</t>
  </si>
  <si>
    <t>MÉTODO</t>
  </si>
  <si>
    <t>D1: Cultura reactiva ante situaciones complejas</t>
  </si>
  <si>
    <t>D2: Entrega inoportuna de la información requerida por parte de los gestores responsables</t>
  </si>
  <si>
    <t>D3: Alta rotación del personal docente de los equipos de autoevaluación y acreditación y Directores de programa</t>
  </si>
  <si>
    <t xml:space="preserve">PLANIFICACION </t>
  </si>
  <si>
    <t>D10. Falta de conciliaciones entre Almacen y contabilidad</t>
  </si>
  <si>
    <t xml:space="preserve">D11. Falta de espacio fisicos para el adecuado almacenaje del archivo documental y los elementos o productos con los que cuenta el proceso </t>
  </si>
  <si>
    <t xml:space="preserve">D21. No contar con lineamietos de alto nivel para el manejo de los documentos suscritos y que son objeto de verificación por entes de control. </t>
  </si>
  <si>
    <t xml:space="preserve">D22. Falta de apropiación del conocimiento por parte de la comunidad académica y/o administrativa en relación a metrologia. </t>
  </si>
  <si>
    <t xml:space="preserve">SISTEMATIZACION </t>
  </si>
  <si>
    <t xml:space="preserve">D9. Malas practicas archivisticas por las condiciones inseguras en el manejo del mismo a falta de elementos de proteccion </t>
  </si>
  <si>
    <r>
      <t>D7. No se cuenta con herramientas digitales en línea para realizar seguimiento a los tramites radicados por las</t>
    </r>
    <r>
      <rPr>
        <sz val="11"/>
        <color rgb="FFFF0000"/>
        <rFont val="Arial"/>
        <family val="2"/>
      </rPr>
      <t xml:space="preserve"> </t>
    </r>
    <r>
      <rPr>
        <sz val="11"/>
        <color theme="1"/>
        <rFont val="Arial"/>
        <family val="2"/>
      </rPr>
      <t>Partes interesadas.</t>
    </r>
  </si>
  <si>
    <r>
      <t xml:space="preserve">D14. Falta de actualización de la información documentada del proceso y la continuidad en la aplicación de los nuevos controles y prácticas establecidas. </t>
    </r>
    <r>
      <rPr>
        <sz val="11"/>
        <color theme="0"/>
        <rFont val="Arial"/>
        <family val="2"/>
      </rPr>
      <t>Hallazgo 16</t>
    </r>
  </si>
  <si>
    <r>
      <t xml:space="preserve">D15. No considerar las acciones de mejora para mitigar el impacto de incumplimiento en metas establecidas en los indicadores. </t>
    </r>
    <r>
      <rPr>
        <sz val="11"/>
        <color theme="0"/>
        <rFont val="Arial"/>
        <family val="2"/>
      </rPr>
      <t>Hallazgo 17</t>
    </r>
  </si>
  <si>
    <t xml:space="preserve">D2. Falta fortalecer aspectos relacionados al cumplimiento de las politicas misionales </t>
  </si>
  <si>
    <t>D4. Contratos de trabajo interrumpido</t>
  </si>
  <si>
    <t>D14. Seccionales y extensiones que carecen de una adecuada Planta Fisica y acceso integral a los servicios como internet</t>
  </si>
  <si>
    <t>D11. Falta de compromiso de los funcionarios contratados con la actualizacion de su historia laboral</t>
  </si>
  <si>
    <r>
      <t>D21. No evidencian las  acciones de planificación para el logro de los objetivos.</t>
    </r>
    <r>
      <rPr>
        <sz val="11"/>
        <color theme="0"/>
        <rFont val="Arial"/>
        <family val="2"/>
      </rPr>
      <t>(Hallazgo 42-2020)</t>
    </r>
  </si>
  <si>
    <r>
      <t>D22. No realizar análisis apropiado a los resultados del los indicador.</t>
    </r>
    <r>
      <rPr>
        <sz val="11"/>
        <color theme="0"/>
        <rFont val="Arial"/>
        <family val="2"/>
      </rPr>
      <t xml:space="preserve"> (Hallazgo 44-2020)</t>
    </r>
  </si>
  <si>
    <r>
      <t>D23.No realizar identificación de las acciones  adecuadas para  determinar la  causa raíz  de los hallazgos en los planes de mejora.</t>
    </r>
    <r>
      <rPr>
        <sz val="11"/>
        <color theme="0"/>
        <rFont val="Arial"/>
        <family val="2"/>
      </rPr>
      <t>(Hallazgo 45-2020)</t>
    </r>
  </si>
  <si>
    <r>
      <t>D17. No evidencian las  acciones de planificación para el logro de los objetivos.</t>
    </r>
    <r>
      <rPr>
        <sz val="11"/>
        <color theme="0"/>
        <rFont val="Arial"/>
        <family val="2"/>
      </rPr>
      <t>(Hallazgo 42-2020)</t>
    </r>
  </si>
  <si>
    <r>
      <t>D18. No realizar análisis apropiado a los resultados del los indicador.</t>
    </r>
    <r>
      <rPr>
        <sz val="11"/>
        <color theme="0"/>
        <rFont val="Arial"/>
        <family val="2"/>
      </rPr>
      <t xml:space="preserve"> (Hallazgo 44-2020)</t>
    </r>
  </si>
  <si>
    <r>
      <t>D19.No realizar identificación de las acciones  adecuadas para  determinar la  causa raíz  de los hallazgos en los planes de mejora.</t>
    </r>
    <r>
      <rPr>
        <sz val="11"/>
        <color theme="0"/>
        <rFont val="Arial"/>
        <family val="2"/>
      </rPr>
      <t>(Hallazgo 45-2020)</t>
    </r>
  </si>
  <si>
    <r>
      <t>D20.No contar con un mecanismo que permitan activar la cadena de llamada de emergencias, con las autoridades municipales.</t>
    </r>
    <r>
      <rPr>
        <sz val="11"/>
        <color theme="0"/>
        <rFont val="Arial"/>
        <family val="2"/>
      </rPr>
      <t xml:space="preserve"> (hallazgo 1)</t>
    </r>
  </si>
  <si>
    <t>D22. Falta de evaluación periodica de la matriz de identificación de peligros y riesgos nuevos y existentes de las unidades agroambiental que permitan la identificación de nuevos controles que mitigen los risgos  del personas que trabaja a compo abierto.</t>
  </si>
  <si>
    <t>D2. No poder hacer contacto directo con los graduados por medio de correos electrónicos ni telefónico por políticas de privacidad</t>
  </si>
  <si>
    <t xml:space="preserve">D3. No se cuenta con indicadores que nos permitan identificar la actualidad laboral y académica de los Graduados </t>
  </si>
  <si>
    <t xml:space="preserve">D4. Generar mas  recursos económicos para los diferentes eventos planeados por la oficina de Graduados. </t>
  </si>
  <si>
    <t xml:space="preserve">D5. Baja participación de docentes encargados del seguimiento a graduados en los diferentes programas académicos de la universidad </t>
  </si>
  <si>
    <t xml:space="preserve">D7. Personal insuficiente para sede, extensiones y seccionales para las actividades relacionadas al proceso </t>
  </si>
  <si>
    <t>D9. No identificación oportuna de la normatividades legales aplicables al proceso.</t>
  </si>
  <si>
    <r>
      <t>D12. No actualizar de manera oportuna los cambios a la  planificación de los eventos frente a situaciones de contingencia.</t>
    </r>
    <r>
      <rPr>
        <sz val="11"/>
        <color theme="0"/>
        <rFont val="Arial"/>
        <family val="2"/>
      </rPr>
      <t xml:space="preserve"> Hallazgos 25-26</t>
    </r>
  </si>
  <si>
    <t>F5. Se panifican las actividades del proceso mediante el calendario académico</t>
  </si>
  <si>
    <t>F7. Personal suficiente para cumplir con los objetivos del proceso</t>
  </si>
  <si>
    <t>F8. Se aplica los procesos de selección a aspirantes vulnerables, se asegura el 1% de ingreso a los aspirantes de los municipios de difícil acceso</t>
  </si>
  <si>
    <t>F9. Se fortalece el desarrollo de la Translocalidad en el proceso, se participa en ferias universitarias cuando son programadas y efectuadas</t>
  </si>
  <si>
    <t>F6. Baja rotación laboral  permitiendo la continuidad en el desarrollo de las actividades.</t>
  </si>
  <si>
    <t xml:space="preserve">CONTINUIDAD </t>
  </si>
  <si>
    <t>F7. Se realiza mantenimiento preventivo y/o correctivo de los elementos que dispone el proceso. (Mobiliario, Equipos de cómputo, Internet, etc.)</t>
  </si>
  <si>
    <t>F9. Canales de comunicación claramente establecidos y definidos para el desarollo de las actividades.</t>
  </si>
  <si>
    <t>F9. Constante actualización de procedimientos y formatos del proceso.</t>
  </si>
  <si>
    <t>F10. Estricta sujeción a las normas establecidas en materia de contratación   (Manual de Contratación, Estatuto de Contratación)</t>
  </si>
  <si>
    <t xml:space="preserve">F17. Planificacion de las actividads de contratacion para la universidadd por medio del Plan Anual de Adquisiciones lo que permite asegurar los recursos necesarios con tiempo y promover la ejecucion oportuna de los proyectos que se establecen </t>
  </si>
  <si>
    <t>F11. Canales de comunicación claramente establecidos y asertivos para el desarollo de las actividades.</t>
  </si>
  <si>
    <t>F12. La normatividad aplicable al proceso se conoce y es actualizada periodicamente.</t>
  </si>
  <si>
    <t>F17. Interes por parte de los Directores de Programa y Decanos para apoyar las actividades planteadas</t>
  </si>
  <si>
    <t>COMPETITIVIDAD</t>
  </si>
  <si>
    <t>F11. Existe un indicador que mide la eficacia y eficiencia de los procesos de la Direccion.</t>
  </si>
  <si>
    <t>F23. Se tienen metas claras y precisas para el cumplimiento del Plan Rectoral y Plan Estrátegico.</t>
  </si>
  <si>
    <t>F2. Dialogando con el mundo como eje transversal, para apoyar y fortalecer los procesos de: Formación y Aprendizaje, Intereaccion Social Universitaria y Bienestar Universitario.</t>
  </si>
  <si>
    <t>F10. Construcción de documentos estrategicos que establecen las líneas de acción que deben ejecutar los procesos de la Universidad, para el cumplimiento de los objetivos Institucionales.</t>
  </si>
  <si>
    <t>F2. Equipos e infraestructura adecuados para la oficina de calidad</t>
  </si>
  <si>
    <t>F3. El sistema de gestión de la calidad hace parte de la estrategia de la organización</t>
  </si>
  <si>
    <t>F8. Implementación de herramientas digitales para la optimización de trámites y procesos.</t>
  </si>
  <si>
    <t>F11. Personal competente para el desarrollo de las atividades del proceso</t>
  </si>
  <si>
    <t>F14. Implementación y aplicación de una politica previamente establecida dentro del desarrollo del Proceso</t>
  </si>
  <si>
    <t>F20. Selecccion de proveedores con implementación del SG-SST igual o superior a 86% según estandares de la Resolución 0312 de 2019.</t>
  </si>
  <si>
    <t xml:space="preserve">F1.Personal preparado y competente con alto grado de compromiso para el logro de objetivos el  desarrollo de las actividades de la oficina de graduados. </t>
  </si>
  <si>
    <t>F2. Espacios académicos para talleres y charlas para beneficio de los graduados de la u Cundinamarca.</t>
  </si>
  <si>
    <t>F4. Contar con un aplicativo en la pagina de la universidad en donde los graduados dejan datos básicos para adquirir su carnet el cual se le envía por medio de correo electrónico</t>
  </si>
  <si>
    <t>F5 Bolsa de empleo</t>
  </si>
  <si>
    <t>F6. Pertenecer a red SEIS(Red de las oficinas de egresados de las instituciones de educación superior).</t>
  </si>
  <si>
    <t>F7. Efectividad en el relacionamiento y oportunidad en la atención y respuesta a las necesidades de los graduados.</t>
  </si>
  <si>
    <t>F8. Se tiene en cuenta la disposición de monitores para el apoyo de actividades propias del proceso</t>
  </si>
  <si>
    <t xml:space="preserve">F9. Contar con una revista de graduados </t>
  </si>
  <si>
    <t>F10. Reconocimiento a los graduados exitosos a nivel nacional o internacional.</t>
  </si>
  <si>
    <t>F11. Mediante los campos de aprendizaje cultural se amplia la interacción de los graduados con la Universidad de Cundinamarca.</t>
  </si>
  <si>
    <t>F12. Realizar Convenios que beneficien al graduado y fortalezcan el crecimiento profesional y personal.</t>
  </si>
  <si>
    <t>F13. Los graduados cuentas con un carnet y correo electrónico Institucional vitalicio  el cual les permite el ingreso a las instalaciones de la universidad en sede seccionales y extensiones y el uso gratuita de biblioteca y gimnasio.</t>
  </si>
  <si>
    <t xml:space="preserve">F14. Contar con la política de graduados que contiene los criterios para la ejecución de actividades, estrategias, programas y proyectos para el estamento de graduados.  </t>
  </si>
  <si>
    <t>F15. Jornadas de preparación al mercado laboral, capacitación y fortalecimiento de habilidades blandas y transversales, talleres de ética profesional, tramite de tarjeta profesional y congreso anual de graduados en áreas de emprendimiento e innovacion.Encuentro deportivo y cultural de graduado.</t>
  </si>
  <si>
    <t>A1. Posible incumplimiento de compromisos con con las partes interesadas</t>
  </si>
  <si>
    <t>CONTINUIDAD DE PROCESOS</t>
  </si>
  <si>
    <t>POLITICAS</t>
  </si>
  <si>
    <t>SEGURIDAD DE LA INFORMACION</t>
  </si>
  <si>
    <t>A8.  La ejecución de las actividades del proceso pueden verse afectadas con la ocurrencia de desastres , fenomenos naturales, situaciones de emergencia y/o situaciones de  orden publico</t>
  </si>
  <si>
    <t xml:space="preserve">A2. Falta de claridad en los lineamientos establecidos en la politica de Educación Superior Inclusiva para la actualización de la documentación de los procesos </t>
  </si>
  <si>
    <t>A4. La ejecución de las actividades del proceso pueden verse afectadas con la ocurrencia de desastres y fenomenos naturales.</t>
  </si>
  <si>
    <t xml:space="preserve">A8. Información erronea y/o incompleta en los certificados de calibración e informes de mantenimiento emitidos por el proveedor externo que realice dichos trabajos a los equipos de medicion a usarse en los proyectos de investigación. </t>
  </si>
  <si>
    <t>A10. Se incumplen las actividades de los procedimientos y se generan riesgos de deterioro para la Planta Fisica y Parque Automotor</t>
  </si>
  <si>
    <t>A16. Desconocimiento de las obligaciones y normatividad aplicable  a la prestación del servicio por parte de los proveedores, así como no cumplir con los requisitos minimos exigidos para la prestación del servicio.</t>
  </si>
  <si>
    <t>A2. No contar con las autorización para el tratamiento de datos de los graduados de la población tota que impide el relacionamiento oportuno con los graduados.</t>
  </si>
  <si>
    <t xml:space="preserve">A3. Ley de Garantías </t>
  </si>
  <si>
    <t>A4. Recorte de presupuesto por parte del estado hacia la Universidad</t>
  </si>
  <si>
    <t>A5. Hackers informáticos</t>
  </si>
  <si>
    <t>A6. Cancelación de los eventos dirigidos a graduados por posibles afectaciones a la  salud o epidemiológicos.</t>
  </si>
  <si>
    <t>O4. La implementación de políticas misionales encaminadas al desarrollo institucional (Ciencia, Tecnología e Investigación, Dialogando con el Mundo, Interacción Social Universitaria, Inclusión entre otras)</t>
  </si>
  <si>
    <r>
      <t xml:space="preserve">O12. Apropiación de la licencia </t>
    </r>
    <r>
      <rPr>
        <i/>
        <sz val="11"/>
        <rFont val="Arial"/>
        <family val="2"/>
      </rPr>
      <t>suite adobe</t>
    </r>
  </si>
  <si>
    <t>O5. Necesidad de transferir conocimientos por parte de las Instituciones de Educación Superior a la sociedad.</t>
  </si>
  <si>
    <t xml:space="preserve">O2. Socialización realizada en periodos cortos por parte del equipo de trabajo de Control Interno Disciplinario, a fin de fortalecer criterios normativos y operativos dentro de la Direccion. </t>
  </si>
  <si>
    <t>O5 Sistematización del procedimiento devolución de matricula con la participacion de areas como Vicerrectoria Administrativa y Financiera, Admisiones y Registro, Educacion Continuada, Tesoreria, Apoyo Financiero y Posgrados.</t>
  </si>
  <si>
    <t>O6. Realizar capacitación a los supervisores de contratos segun modalidad, en relación al cumplimiento de las directrices establecidos en el manual de contratación (requisitos de pago).</t>
  </si>
  <si>
    <t>O4. Buenas practicas de otras universidades seguimiento a graduados.</t>
  </si>
  <si>
    <t>O7. Brindar a los graduados la oportunidad de participar en talleres, seminarios, Diplomados dictados por docentes internacionales.</t>
  </si>
  <si>
    <t>Etiquetas de fila</t>
  </si>
  <si>
    <t>Cuenta de SUBCLASIFICACIÓN</t>
  </si>
  <si>
    <t>Cuenta de SUBCLASIFICACION</t>
  </si>
  <si>
    <t>RESULTADO</t>
  </si>
  <si>
    <t>ABSOLUTO</t>
  </si>
  <si>
    <t>RELATIVO</t>
  </si>
  <si>
    <t>ACUMULADA</t>
  </si>
  <si>
    <t>Total General</t>
  </si>
  <si>
    <t>Total general</t>
  </si>
  <si>
    <t xml:space="preserve">ECONOMICO </t>
  </si>
  <si>
    <t xml:space="preserve">INVERSION </t>
  </si>
  <si>
    <t>TECNOLOGICO</t>
  </si>
  <si>
    <t>METODO</t>
  </si>
  <si>
    <t xml:space="preserve">DOCUMENTACION </t>
  </si>
  <si>
    <t>SISTEMATIZACION</t>
  </si>
  <si>
    <t>INFORMACION</t>
  </si>
  <si>
    <t xml:space="preserve">GESTION DEL CAMBIO </t>
  </si>
  <si>
    <t xml:space="preserve">MEDICION </t>
  </si>
  <si>
    <t xml:space="preserve">SOCIAL </t>
  </si>
  <si>
    <t xml:space="preserve">TECNOLOGICO </t>
  </si>
  <si>
    <t>CLIMA</t>
  </si>
  <si>
    <t>PROCESO GESTIÓN BIENES Y SERVICIOS
PROCESO GESTIÓN BIENESTAR UNIVERSITARIO
GESTIÓN COMUNICACIONES
PROCESO GESTIÓN DIALOGANDO CON EL MUNDO
PROCESO GESTIÓN TALENTO HUMANO
PROCESO GESTIÓN GRADUADOS</t>
  </si>
  <si>
    <t>PROCESO GESTIÓN ADMISIONES Y REGISTRO
PROCESO GESTIÓN AUTOEVALUACIÓN Y ACREDITACIÓN
PROCESO GESTIÓN BIENES Y SERVICIOS
PROCESO GESTIÓN BIENESTAR UNIVERSITARIO 
PROCESO GESTIÓN CIENCIA, TECNOLOGÍA E INNOVACIÓN
PROCESO GESTIÓN COMUNICACIONES
PROCESO GESTIÓN CONTROL DISCIPLINARIO
PROCESO GESTIÓN CONTROL INTERNO
PROCESO GESTIÓN DE PROYECTOS ESPECIALES Y RELACIONES INTERINSTITUCIONALES
PROCESO GESTIÓN DIALOGANDO CON EL MUNDO
PROCESO GESTIÓN FINANCIERA 
PROCESO GESTIÓN GRADUADOS
PROCESO GESTIÓN INTERACCIÓN UNIVERSITARIA
PROCESO GESTIÓN TALENTO HUMANO</t>
  </si>
  <si>
    <t>PROCESO GESTIÓN ADMISIONES Y REGISTRO 
PROCESO GESTIÓN AUTOEVALUACIÓN Y ACREDITACIÓN
PROCESO GESTIÓN BIENES Y SERVICIOS
PROCESO GESTIÓN BIENESTAR UNIVERSITARIO 
PROCESO GESTIÓN COMUNICACIONE
PROCESO GESTIÓN DIALOGANDO CON EL MUNDO
PROCESO GESTIÓN FORMACIÓN Y APRENDIZAJE</t>
  </si>
  <si>
    <t>PROCESO GESTIÓN COMUNICACIONES
PROCESO GESTIÓN CONTROL DISCIPLINARIO
PROCESO GESTIÓN CONTROL INTERNO
PROCESO GESTIÓN DE PROYECTOS ESPECIALES Y RELACIONES INTERINSTITUCIONALES
PROCESO GESTIÓN INTERACCIÓN UNIVERSITARIA
PROCESO GESTIÓN SERVICIO DE ATENCIÓN AL CIUDADANO
PROCESO GESTIÓN TALENTO HUMANO</t>
  </si>
  <si>
    <t xml:space="preserve">PROCESO GESTIÓN APOYO ACADÉMICO 
PROCESO GESTIÓN AUTOEVALUACIÓN Y ACREDITACIÓN PROCESO GESTIÓN BIENES Y SERVICIOS 
PROCESO GESTIÓN BIENESTAR UNIVERSITARIO 
PROCESO GESTIÓN CIENCIA, TECNOLOGÍA E INNOVACIÓN 
PROCESO GESTIÓN CONTROL DISCIPLINARIO PROCESO GESTIÓN CONTROL INTERNO 
PROCESO GESTIÓN DOCUMENTAL 
PROCESO GESTIÓN FORMACIÓN Y APRENDIZAJE  
PROCESO GESTIÓN INTERACCIÓN UNIVERSITARIA 
PROCESO GESTIÓN JURÍDICA 
PROCESO GESTIÓN PLANEACIÓN INSTITUCIONAL 
PROCESO GESTIÓN SERVICIO DE ATENCIÓN AL CIUDADANO 
PROCESO GESTIÓN SISTEMAS INTEGRADOS  
PROCESO GESTIÓN TALENTO HUMANO </t>
  </si>
  <si>
    <t>PROCESO GESTIÓN APOYO ACADÉMICO 
PROCESO GESTIÓN BIENES Y SERVICIOS
PROCESO GESTIÓN COMUNICACIONES
PROCESO GESTIÓN DOCUMENTAL
PROCESO GESTIÓN FINANCIERA 
PROCESO GESTIÓN JURÍDICA
PROCESO GESTIÓN SERVICIO DE ATENCIÓN AL CIUDADANO
PROCESO GESTIÓN TALENTO HUMANO</t>
  </si>
  <si>
    <t xml:space="preserve">PROCESO GESTIÓN AUTOEVALUACIÓN Y ACREDITACIÓN 
PROCESO GESTIÓN BIENES Y SERVICIOS 
PROCESO GESTIÓN COMUNICACIONES 
PROCESO GESTIÓN CONTROL DISCIPLINARIO 
PROCESO GESTIÓN CONTROL INTERNO 
PROCESO GESTIÓN DE PROYECTOS ESPECIALES Y RELACIONES INTERINSTITUCIONALES 
PROCESO GESTIÓN DIALOGANDO CON EL MUNDO 
PROCESO GESTIÓN FORMACIÓN Y APRENDIZAJE  
PROCESO GESTIÓN INTERACCIÓN UNIVERSITARIA 
PROCESO GESTIÓN JURÍDICA 
PROCESO GESTIÓN SERVICIO DE ATENCIÓN AL CIUDADANO 
PROCESO GESTIÓN SISTEMAS INTEGRADOS  
PROCESO GESTIÓN TALENTO HUMANO </t>
  </si>
  <si>
    <t>PROCESO GESTIÓN COMUNICACIONES
PROCESO GESTIÓN FINANCIERA</t>
  </si>
  <si>
    <t>PROCESO GESTIÓN AUTOEVALUACIÓN Y ACREDITACIÓN
PROCESO GESTIÓN BIENES Y SERVICIOS
PROCESO GESTIÓN CONTROL INTERNO
PROCESO GESTIÓN FINANCIERA 
PROCESO GESTIÓN FORMACIÓN Y APRENDIZAJE 
PROCESO GESTIÓN GRADUADOS
PROCESO GESTIÓN SISTEMAS Y TECNOLOGÍA</t>
  </si>
  <si>
    <t xml:space="preserve">PROCESO GESTIÓN AUTOEVALUACIÓN Y ACREDITACIÓN 
PROCESO GESTIÓN BIENES Y SERVICIOS 
PROCESO GESTIÓN COMUNICACIONES 
PROCESO GESTIÓN CONTROL DISCIPLINARIO 
PROCESO GESTIÓN CONTROL INTERNO 
PROCESO GESTIÓN DE PROYECTOS ESPECIALES Y RELACIONES INTERINSTITUCIONALES 
PROCESO GESTIÓN DIALOGANDO CON EL MUNDO 
PROCESO GESTIÓN FORMACIÓN Y APRENDIZAJE  
PROCESO GESTIÓN INTERACCIÓN UNIVERSITARIA 
PROCESO GESTIÓN JURÍDICA 
PROCESO GESTIÓN SERVICIO DE ATENCIÓN AL CIUDADANO PROCESO GESTIÓN SISTEMAS INTEGRADOS  
PROCESO GESTIÓN TALENTO HUMANO </t>
  </si>
  <si>
    <t>PROCESO GESTIÓN APOYO ACADÉMICO
PROCESO GESTIÓN BIENES Y SERVICIOS
PROCESO GESTIÓN SISTEMAS INTEGRADOS</t>
  </si>
  <si>
    <t xml:space="preserve">PROCESO GESTIÓN APOYO ACADÉMICO 
PROCESO GESTIÓN BIENES Y SERVICIOS 
PROCESO GESTIÓN CONTROL INTERNO 
PROCESO GESTIÓN DOCUMENTAL 
PROCESO GESTIÓN FORMACIÓN Y APRENDIZAJE  
PROCESO GESTIÓN INTERACCIÓN UNIVERSITARIA
PROCESO GESTIÓN SERVICIO DE ATENCIÓN AL CIUDADANO 
PROCESO GESTIÓN TALENTO HUMANO </t>
  </si>
  <si>
    <t xml:space="preserve">PROCESO GESTIÓN APOYO ACADÉMICO
PROCESO GESTIÓN COMUNICACIONES
PROCESO GESTIÓN SERVICIO DE ATENCIÓN AL CIUDADANO </t>
  </si>
  <si>
    <t xml:space="preserve">PROCESO GESTIÓN ADMISIONES Y REGISTRO 
PROCESO GESTIÓN BIENESTAR UNIVERSITARIO 
PROCESO GESTIÓN CIENCIA, TECNOLOGÍA E INNOVACIÓN 
PROCESO GESTIÓN COMUNICACIONES 
PROCESO GESTIÓN DOCUMENTAL 
PROCESO GESTIÓN FINANCIERA
PROCESO GESTIÓN INTERACCIÓN UNIVERSITARIA 
PROCESO GESTIÓN JURÍDICA 
PROCESO GESTIÓN SISTEMAS INTEGRADOS  </t>
  </si>
  <si>
    <t xml:space="preserve">PROCESO GESTIÓN APOYO ACADÉMICO 
PROCESO GESTIÓN AUTOEVALUACIÓN Y ACREDITACIÓN 
PROCESO GESTIÓN BIENES Y SERVICIOS 
PROCESO GESTIÓN INTERACCIÓN UNIVERSITARIA 
PROCESO GESTIÓN JURÍDICA 
PROCESO GESTIÓN SERVICIO DE ATENCIÓN AL CIUDADANO 
PROCESO GESTIÓN SISTEMAS INTEGRADOS  </t>
  </si>
  <si>
    <t xml:space="preserve">PROCESO GESTIÓN ADMISIONES Y REGISTRO
PROCESO GESTIÓN BIENES Y SERVICIOS
PROCESO GESTIÓN BIENESTAR UNIVERSITARIO 
PROCESO GESTIÓN COMUNICACIONES
PROCESO GESTIÓN CONTROL DISCIPLINARIO
PROCESO GESTIÓN CONTROL INTERNO
PROCESO GESTIÓN DE PROYECTOS ESPECIALES Y RELACIONES INTERINSTITUCIONALES
PROCESO GESTIÓN DOCUMENTAL 
PROCESO GESTIÓN FINANCIERA 
PROCESO GESTIÓN FORMACIÓN Y APRENDIZAJE  
PROCESO GESTIÓN GRADUADOS 
PROCESO GESTIÓN SERVICIO DE ATENCIÓN AL CIUDADANO PROCESO GESTIÓN TALENTO HUMANO </t>
  </si>
  <si>
    <t xml:space="preserve">PROCESO GESTIÓN CIENCIA, TECNOLOGÍA E INNOVACIÓN
PROCESO GESTIÓN COMUNICACIONES
PROCESO GESTIÓN CONTROL INTERNO
PROCESO GESTIÓN DOCUMENTAL
PROCESO GESTIÓN FINANCIERA
PROCESO GESTIÓN FORMACIÓN Y APRENDIZAJE 
PROCESO GESTIÓN INTERACCIÓN UNIVERSITARIA
PROCESO GESTIÓN SISTEMAS INTEGRADOS  </t>
  </si>
  <si>
    <t xml:space="preserve">PROCESO GESTIÓN AUTOEVALUACIÓN Y ACREDITACIÓN
PROCESO GESTIÓN CIENCIA, TECNOLOGÍA E INNOVACIÓN
PROCESO GESTIÓN CONTROL DISCIPLINARIO
PROCESO GESTIÓN CONTROL INTERNO
PROCESO GESTIÓN DOCUMENTAL 
PROCESO GESTIÓN PLANEACIÓN INSTITUCIONAL </t>
  </si>
  <si>
    <t xml:space="preserve">PROCESO GESTIÓN APOYO ACADÉMICO 
PROCESO GESTIÓN BIENES Y SERVICIOS 
PROCESO GESTIÓN BIENESTAR UNIVERSITARIO 
PROCESO GESTIÓN COMUNICACIONES 
PROCESO GESTIÓN CONTROL INTERNO 
PROCESO GESTIÓN DIALOGANDO CON EL MUNDO 
PROCESO GESTIÓN FINANCIERA 
PROCESO GESTIÓN FORMACIÓN Y APRENDIZAJE 
PROCESO GESTIÓN GRADUADOS 
PROCESO GESTIÓN JURÍDICA 
PROCESO GESTIÓN PLANEACIÓN INSTITUCIONAL 
PROCESO GESTIÓN SERVICIO DE ATENCIÓN AL CIUDADANO 
PROCESO GESTIÓN TALENTO HUMANO </t>
  </si>
  <si>
    <t xml:space="preserve">PROCESO GESTIÓN BIENESTAR UNIVERSITARIO 
PROCESO GESTIÓN CONTROL INTERNO
PROCESO GESTIÓN FINANCIERA </t>
  </si>
  <si>
    <t xml:space="preserve">PROCESO GESTIÓN ADMISIONES Y REGISTRO 
PROCESO GESTIÓN AUTOEVALUACIÓN Y ACREDITACIÓN 
PROCESO GESTIÓN CIENCIA, TECNOLOGÍA E INNOVACIÓN
PROCESO GESTIÓN COMUNICACIONES 
PROCESO GESTIÓN CONTROL DISCIPLINARIO 
PROCESO GESTIÓN CONTROL INTERNO 
PROCESO GESTIÓN DOCUMENTAL 
PROCESO GESTIÓN JURÍDICA 
PROCESO GESTIÓN SERVICIO DE ATENCIÓN AL CIUDADANO 
PROCESO GESTIÓN TALENTO HUMANO </t>
  </si>
  <si>
    <t>PROCESO GESTIÓN DOCUMENTAL
PROCESO GESTIÓN FINANCIERA
PROCESO GESTIÓN GRADUADOS
PROCESO GESTIÓN TALENTO HUMANO</t>
  </si>
  <si>
    <t>PROCESO GESTIÓN AUTOEVALUACIÓN Y ACREDITACIÓN
PROCESO GESTIÓN CIENCIA, TECNOLOGÍA E INNOVACIÓN
PROCESO GESTIÓN INTERACCIÓN UNIVERSITARIA
PROCESO GESTIÓN TALENTO HUMANO</t>
  </si>
  <si>
    <t xml:space="preserve">PROCESO GESTIÓN AUTOEVALUACIÓN Y ACREDITACIÓN 
PROCESO GESTIÓN CONTROL INTERNO 
PROCESO GESTIÓN FINANCIERA 
PROCESO GESTIÓN FORMACIÓN Y APRENDIZAJE  
PROCESO GESTIÓN GRADUADOS 
PROCESO GESTIÓN SISTEMAS Y TECNOLOGÍA 
PROCESO GESTIÓN TALENTO HUMANO </t>
  </si>
  <si>
    <t xml:space="preserve">PROCESO GESTIÓN BIENES Y SERVICIOS
PROCESO GESTIÓN CONTROL INTERNO
PROCESO GESTIÓN DOCUMENTAL
PROCESO GESTIÓN ADMISIONES Y REGISTRO 
PROCESO GESTIÓN BIENES Y SERVICIOS 
PROCESO GESTIÓN CONTROL INTERNO 
PROCESO GESTIÓN DOCUMENTAL 
PROCESO GESTIÓN FINANCIERA 
PROCESO GESTIÓN FORMACIÓN Y APRENDIZAJE  PROCESO GESTIÓN TALENTO HUMANO </t>
  </si>
  <si>
    <t xml:space="preserve">PROCESO GESTIÓN ADMISIONES Y REGISTRO 
PROCESO GESTIÓN APOYO ACADÉMICO 
PROCESO GESTIÓN BIENES Y SERVICIOS 
PROCESO GESTIÓN DE PROYECTOS ESPECIALES Y RELACIONES INTERINSTITUCIONALES 
PROCESO GESTIÓN FORMACIÓN Y APRENDIZAJE  
PROCESO GESTIÓN GRADUADOS 
PROCESO GESTIÓN INTERACCIÓN UNIVERSITARIA 
PROCESO GESTIÓN JURÍDICA 
PROCESO GESTIÓN SERVICIO DE ATENCIÓN AL CIUDADANO 
PROCESO GESTIÓN SISTEMAS INTEGRADOS  
PROCESO GESTIÓN SISTEMAS Y TECNOLOGÍA </t>
  </si>
  <si>
    <t>PROCESO GESTIÓN CONTROL DISCIPLINARIO
PROCESO GESTIÓN FINANCIERA</t>
  </si>
  <si>
    <t xml:space="preserve">PROCESO GESTIÓN BIENES Y SERVICIOS
PROCESO GESTIÓN BIENESTAR UNIVERSITARIO 
PROCESO GESTIÓN COMUNICACIONES
PROCESO GESTIÓN CONTROL DISCIPLINARIO
PROCESO GESTIÓN DE PROYECTOS ESPECIALES Y RELACIONES INTERINSTITUCIONALES
PROCESO GESTIÓN FORMACIÓN Y APRENDIZAJE </t>
  </si>
  <si>
    <t>PROCESO GESTIÓN APOYO ACADÉMICO
PROCESO GESTIÓN BIENES Y SERVICIOS
PROCESO GESTIÓN COMUNICACIONES
PROCESO GESTIÓN DIALOGANDO CON EL MUNDO
PROCESO GESTIÓN FINANCIERA
PROCESO GESTIÓN FORMACIÓN Y APRENDIZAJE 
PROCESO GESTIÓN GRADUADOS
PROCESO GESTIÓN SISTEMAS Y TECNOLOGÍA</t>
  </si>
  <si>
    <t xml:space="preserve">PROCESO GESTIÓN BIENESTAR UNIVERSITARIO 
PROCESO GESTIÓN COMUNICACIONES
PROCESO GESTIÓN CONTROL DISCIPLINARIO 
PROCESO GESTIÓN CONTROL INTERNO
PROCESO GESTIÓN JURÍDICA
PROCESO GESTIÓN SERVICIO DE ATENCIÓN AL CIUDADANO
PROCESO GESTIÓN SISTEMAS INTEGRADOS  PROCESO GESTIÓN TALENTO HUMANO </t>
  </si>
  <si>
    <t xml:space="preserve">PROCESO GESTIÓN BIENES Y SERVICIOS
PROCESO GESTIÓN BIENESTAR UNIVERSITARIO 
PROCESO GESTIÓN DE PROYECTOS ESPECIALES Y RELACIONES INTERINSTITUCIONALES
PROCESO GESTIÓN FORMACIÓN Y APRENDIZAJE 
PROCESO GESTIÓN INTERACCIÓN UNIVERSITARIA
PROCESO GESTIÓN PLANEACIÓN INSTITUCIONAL
PROCESO GESTIÓN TALENTO HUMANO </t>
  </si>
  <si>
    <t>PROCESO GESTIÓN AUTOEVALUACIÓN Y ACREDITACIÓN
PROCESO GESTIÓN BIENESTAR UNIVERSITARIO
PROCESO GESTIÓN CIENCIA, TECNOLOGÍA E INNOVACIÓN
PROCESO GESTIÓN COMUNICACIONES
PROCESO GESTIÓN CONTROL INTERNO
PROCESO GESTIÓN DIALOGANDO CON EL MUNDO
PROCESO GESTIÓN INTERACCIÓN UNIVERSITARIA
PROCESO GESTIÓN PLANEACIÓN INSTITUCIONAL</t>
  </si>
  <si>
    <t>PROCESO GESTIÓN AUTOEVALUACIÓN Y ACREDITACIÓN
PROCESO GESTIÓN BIENES Y SERVICIOS
PROCESO GESTIÓN CONTROL DISCIPLINARIO
PROCESO GESTIÓN DOCUMENTAL
PROCESO GESTIÓN FINANCIERA
PROCESO GESTIÓN FORMACIÓN Y APRENDIZAJE 
PROCESO GESTIÓN GRADUADOS
PROCESO GESTIÓN INTERACCIÓN UNIVERSITARIA
PROCESO GESTIÓN PLANEACIÓN INSTITUCIONAL
PROCESO GESTIÓN TALENTO HUMANO</t>
  </si>
  <si>
    <t>PROCESO GESTIÓN AUTOEVALUACIÓN Y ACREDITACIÓN
PROCESO GESTIÓN BIENES Y SERVICIOS
+E46:E63PROCESO GESTIÓN DIALOGANDO CON EL MUNDO
PROCESO GESTIÓN FORMACIÓN Y APRENDIZA+E61+E46:E53+E46:E55+E46:E56+E46:E57+E46:E58+E46:E5+E46:E62</t>
  </si>
  <si>
    <t xml:space="preserve">PROCESO GESTIÓN ADMISIONES Y REGISTRO 
PROCESO GESTIÓN BIENES Y SERVICIOS 
PROCESO GESTIÓN BIENESTAR UNIVERSITARIO 
PROCESO GESTIÓN DE PROYECTOS ESPECIALES Y RELACIONES INTERINSTITUCIONALES 
PROCESO GESTIÓN DOCUMENTAL 
PROCESO GESTIÓN PLANEACIÓN INSTITUCIONAL </t>
  </si>
  <si>
    <t xml:space="preserve">PROCESO GESTIÓN APOYO ACADÉMICO
PROCESO GESTIÓN BIENES Y SERVICIOS
PROCESO GESTIÓN FINANCIERA
PROCESO GESTIÓN FORMACIÓN Y APRENDIZAJE </t>
  </si>
  <si>
    <t>PROCESO GESTIÓN JURÍDICA
PROCESO GESTIÓN SISTEMAS INTEGRADOS</t>
  </si>
  <si>
    <t>PROCESO GESTIÓN AUTOEVALUACIÓN Y ACREDITACIÓN 
PROCESO GESTIÓN BIENESTAR UNIVERSITARIO
PROCESO GESTIÓN FORMACIÓN Y APRENDIZAJE 
PROCESO GESTIÓN GRADUADOS
PROCESO GESTIÓN SISTEMAS INTEGRADOS</t>
  </si>
  <si>
    <t>PROCESO GESTIÓN CONTROL DISCIPLINARIO
PROCESO GESTIÓN CONTROL INTERNO</t>
  </si>
  <si>
    <t>PROCESO GESTIÓN BIENESTAR UNIVERSITARIO
PROCESO GESTIÓN CONTROL DISCIPLINARIO
PROCESO GESTIÓN DIALOGANDO CON EL MUNDO
PROCESO GESTIÓN DOCUMENTAL
PROCESO GESTIÓN FINANCIERA
PROCESO GESTIÓN INTERACCIÓN UNIVERSITARIA
PROCESO GESTIÓN JURÍDICA
PROCESO GESTIÓN TALENTO HUMANO</t>
  </si>
  <si>
    <t>PROCESO GESTIÓN AUTOEVALUACIÓN Y ACREDITACIÓN
PROCESO GESTIÓN BIENES Y SERVICIOS
PROCESO GESTIÓN BIENESTAR UNIVERSITARIO
PROCESO GESTIÓN COMUNICACIONES
PROCESO GESTIÓN GRADUADOS
PROCESO GESTIÓN INTERACCIÓN UNIVERSITARIA
PROCESO GESTIÓN PLANEACIÓN INSTITUCIONAL
PROCESO GESTIÓN SERVICIO DE ATENCIÓN AL CIUDADANO
PROCESO GESTIÓN SISTEMAS INTEGRADOS
PROCESO GESTIÓN SISTEMAS Y TECNOLOGÍA
PROCESO GESTIÓN TALENTO HUMANO</t>
  </si>
  <si>
    <t>PROCESO GESTIÓN CIENCIA, TECNOLOGÍA E INNOVACIÓN
PROCESO GESTIÓN CONTROL INTERNO
PROCESO GESTIÓN DOCUMENTAL
PROCESO GESTIÓN FORMACIÓN Y APRENDIZAJE</t>
  </si>
  <si>
    <t>PROCESO GESTIÓN ADMISIONES Y REGISTRO 
PROCESO GESTIÓN APOYO ACADÉMICO 
PROCESO GESTIÓN CIENCIA, TECNOLOGÍA E INNOVACIÓN 
PROCESO GESTIÓN DE PROYECTOS ESPECIALES Y RELACIONES INTERINSTITUCIONALES 
PROCESO GESTIÓN DIALOGANDO CON EL MUNDO PROCESO GESTIÓN FORMACIÓN Y APRENDIZAJE  
PROCESO GESTIÓN GRADUADOS 
PROCESO GESTIÓN SERVICIO DE ATENCIÓN AL CIUDADANO 
PROCESO GESTIÓN SISTEMAS INTEGRADOS 
PROCESO GESTIÓN TALENTO HUMANO</t>
  </si>
  <si>
    <t>PROCESO GESTIÓN COMUNICACIONES
PROCESO GESTIÓN DIALOGANDO CON EL MUNDO
PROCESO GESTIÓN SISTEMAS INTEGRADOS</t>
  </si>
  <si>
    <t>PROCESO GESTIÓN CIENCIA, TECNOLOGÍA E INNOVACIÓN
PROCESO GESTIÓN COMUNICACIONES
PROCESO GESTIÓN DE PROYECTOS ESPECIALES Y RELACIONES INTERINSTITUCIONALES</t>
  </si>
  <si>
    <t>A1. Falta de colaboración interinstitucional, frente a la inoportunidad en la entrega de información por parte de terceros.</t>
  </si>
  <si>
    <t xml:space="preserve">D16. No se asegura la aplicación de las medidas de control para los riesgos de SST por parte del equipo colaborador del proceso. </t>
  </si>
  <si>
    <t xml:space="preserve">D22. No realizar análisis apropiado a los resultados del los indicador. </t>
  </si>
  <si>
    <t>F4.Aplicación de estrategias por parte del proceso, dirigidas a abordar temas relacionados con equidad y diversidad</t>
  </si>
  <si>
    <t>PROCESO GESTIÓN BIENES Y SERVICIOS
PROCESO GESTIÓN BIENESTAR UNIVERSITARIO
PROCESO GESTIÓN COMUNICACIONES
PROCESO GESTIÓN FORMACIÓN Y APRENDIZAJE 
PROCESO GESTIÓN GRADUADOS</t>
  </si>
  <si>
    <t>PROCESO GESTIÓN BIENES Y SERVICIOS
PROCESO GESTIÓN CONTROL INTERNO
PROCESO GESTIÓN FORMACIÓN Y APRENDIZAJE 
PROCESO GESTIÓN JURÍDICA
PROCESO GESTIÓN SISTEMAS INTEGRADOS 
PROCESO GESTIÓN TALENTO HUMANO</t>
  </si>
  <si>
    <t>PROCESO GESTIÓN CONTROL DISCIPLINARIO
PROCESO GESTIÓN DIALOGANDO CON EL MUNDO
PROCESO GESTIÓN DOCUMENTAL
PROCESO GESTIÓN INTERACCIÓN UNIVERSITARIA</t>
  </si>
  <si>
    <t>PROCESO GESTIÓN BIENES Y SERVICIOS
PROCESO GESTIÓN INTERACCIÓN UNIVERSITARIA</t>
  </si>
  <si>
    <t>PROCESO GESTIÓN APOYO ACADÉMICO
PROCESO GESTIÓN AUTOEVALUACIÓN Y ACREDITACIÓN
PROCESO GESTIÓN BIENES Y SERVICIOS
PROCESO GESTIÓN BIENESTAR UNIVERSITARIO
PROCESO GESTIÓN CIENCIA, TECNOLOGÍA E INNOVACIÓN
PROCESO GESTIÓN CONTROL DISCIPLINARIO
PROCESO GESTIÓN CONTROL INTERNO
PROCESO GESTIÓN DOCUMENTAL
PROCESO GESTIÓN JURÍDICA
PROCESO GESTIÓN PLANEACIÓN INSTITUCIONAL
PROCESO GESTIÓN SISTEMAS INTEGRADOS 
PROCESO GESTIÓN TALENTO HUMANO</t>
  </si>
  <si>
    <t>PROCESO GESTIÓN AUTOEVALUACIÓN Y ACREDITACIÓN
PROCESO GESTIÓN BIENES Y SERVICIOS
PROCESO GESTIÓN COMUNICACIONES
PROCESO GESTIÓN CONTROL DISCIPLINARIO
PROCESO GESTIÓN CONTROL INTERNO
PROCESO GESTIÓN DE PROYECTOS ESPECIALES Y RELACIONES INTERINSTITUCIONALES
PROCESO GESTIÓN DIALOGANDO CON EL MUNDO
PROCESO GESTIÓN FORMACIÓN Y APRENDIZAJE 
PROCESO GESTIÓN INTERACCIÓN UNIVERSITARIA
PROCESO GESTIÓN JURÍDICA
PROCESO GESTIÓN SERVICIO DE ATENCIÓN AL CIUDADANO
PROCESO GESTIÓN SISTEMAS INTEGRADOS 
PROCESO GESTIÓN TALENTO HUMANO</t>
  </si>
  <si>
    <t>PROCESO GESTIÓN ADMISIONES Y REGISTRO
PROCESO GESTIÓN APOYO ACADÉMICO
PROCESO GESTIÓN BIENES Y SERVICIOS
PROCESO GESTIÓN BIENESTAR UNIVERSITARIO
PROCESO GESTIÓN COMUNICACIONES
PROCESO GESTIÓN CONTROL INTERNO
PROCESO GESTIÓN DE PROYECTOS ESPECIALES Y RELACIONES INTERINSTITUCIONALES
PROCESO GESTIÓN FINANCIERA
PROCESO GESTIÓN GRADUADOS
PROCESO GESTIÓN JURÍDICA
PROCESO GESTIÓN TALENTO HUMANO</t>
  </si>
  <si>
    <t>PROCESO GESTIÓN BIENESTAR UNIVERSITARIO
PROCESO GESTIÓN TALENTO HUMANO</t>
  </si>
  <si>
    <t xml:space="preserve">PROCESO GESTIÓN BIENESTAR UNIVERSITARIO 
PROCESO GESTIÓN CIENCIA, TECNOLOGÍA E INNOVACIÓN 
PROCESO GESTIÓN COMUNICACIONES 
PROCESO GESTIÓN DOCUMENTAL 
PROCESO GESTIÓN FINANCIERA
PROCESO GESTIÓN FORMACIÓN Y APRENDIZAJE
PROCESO GESTIÓN JURÍDICA 
PROCESO GESTIÓN SISTEMAS INTEGRADOS  </t>
  </si>
  <si>
    <t>PROCESO GESTIÓN APOYO ACADÉMICO
PROCESO GESTIÓN AUTOEVALUACIÓN Y ACREDITACIÓN
PROCESO GESTIÓN BIENES Y SERVICIOS
PROCESO GESTIÓN DE PROYECTOS ESPECIALES Y RELACIONES INTERINSTITUCIONALES
PROCESO GESTIÓN INTERACCIÓN UNIVERSITARIA
PROCESO GESTIÓN JURÍDICA
PROCESO GESTIÓN SERVICIO DE ATENCIÓN AL CIUDADANO
PROCESO GESTIÓN SISTEMAS INTEGRADOS</t>
  </si>
  <si>
    <t>PROCESO GESTIÓN BIENESTAR UNIVERSITARIO
PROCESO GESTIÓN CIENCIA, TECNOLOGÍA E INNOVACIÓN
PROCESO GESTIÓN CONTROL INTERNO
PROCESO GESTIÓN DOCUMENTAL
PROCESO GESTIÓN FINANCIERA
PROCESO GESTIÓN INTERACCIÓN UNIVERSITARIA
PROCESO GESTIÓN SISTEMAS Y TECNOLOGÍA</t>
  </si>
  <si>
    <t>PROCESO GESTIÓN APOYO ACADÉMICO
PROCESO GESTIÓN BIENES Y SERVICIOS
PROCESO GESTIÓN BIENESTAR UNIVERSITARIO
PROCESO GESTIÓN COMUNICACIONES
PROCESO GESTIÓN CONTROL INTERNO
PROCESO GESTIÓN FORMACIÓN Y APRENDIZAJE 
PROCESO GESTIÓN GRADUADOS
PROCESO GESTIÓN JURÍDICA
PROCESO GESTIÓN PLANEACIÓN INSTITUCIONAL
PROCESO GESTIÓN SERVICIO DE ATENCIÓN AL CIUDADANO
PROCESO GESTIÓN TALENTO HUMANO</t>
  </si>
  <si>
    <t>PROCESO GESTIÓN BIENESTAR UNIVERSITARIO
PROCESO GESTIÓN CIENCIA, TECNOLOGÍA E INNOVACIÓN
PROCESO GESTIÓN CONTROL INTERNO</t>
  </si>
  <si>
    <t>PROCESO GESTIÓN ADMISIONES Y REGISTRO
PROCESO GESTIÓN AUTOEVALUACIÓN Y ACREDITACIÓN
PROCESO GESTIÓN CIENCIA, TECNOLOGÍA E INNOVACIÓN
PROCESO GESTIÓN COMUNICACIONES
PROCESO GESTIÓN CONTROL DISCIPLINARIO
PROCESO GESTIÓN CONTROL INTERNO
PROCESO GESTIÓN DOCUMENTAL
PROCESO GESTIÓN JURÍDICA
PROCESO GESTIÓN SERVICIO DE ATENCIÓN AL CIUDADANO
PROCESO GESTIÓN TALENTO HUMANO</t>
  </si>
  <si>
    <t>PROCESO GESTIÓN BIENESTAR UNIVERSITARIO
PROCESO GESTIÓN DOCUMENTAL
PROCESO GESTIÓN FINANCIERA
PROCESO GESTIÓN GRADUADOS
PROCESO GESTIÓN TALENTO HUMANO</t>
  </si>
  <si>
    <t>PROCESO GESTIÓN ADMISIONES Y REGISTRO
PROCESO GESTIÓN BIENES Y SERVICIOS
PROCESO GESTIÓN CONTROL INTERNO
PROCESO GESTIÓN DOCUMENTAL
PROCESO GESTIÓN FINANCIERA
PROCESO GESTIÓN FORMACIÓN Y APRENDIZAJE 
PROCESO GESTIÓN INTERACCIÓN UNIVERSITARIA
PROCESO GESTIÓN TALENTO HUMANO</t>
  </si>
  <si>
    <t>PROCESO GESTIÓN BIENESTAR UNIVERSITARIO
PROCESO GESTIÓN INTERACCIÓN UNIVERSITARIA
PROCESO GESTIÓN JURÍDICA</t>
  </si>
  <si>
    <t>PROCESO GESTIÓN ADMISIONES Y REGISTRO
PROCESO GESTIÓN APOYO ACADÉMICO
PROCESO GESTIÓN BIENES Y SERVICIOS
PROCESO GESTIÓN DE PROYECTOS ESPECIALES Y RELACIONES INTERINSTITUCIONALES
PROCESO GESTIÓN GRADUADOS
PROCESO GESTIÓN INTERACCIÓN UNIVERSITARIA
PROCESO GESTIÓN JURÍDICA
PROCESO GESTIÓN SERVICIO DE ATENCIÓN AL CIUDADANO
PROCESO GESTIÓN SISTEMAS INTEGRADOS 
PROCESO GESTIÓN SISTEMAS Y TECNOLOGÍA</t>
  </si>
  <si>
    <t>PROCESO GESTIÓN APOYO ACADÉMICO
PROCESO GESTIÓN BIENES Y SERVICIOS
PROCESO GESTIÓN COMUNICACIONES
PROCESO GESTIÓN DE PROYECTOS ESPECIALES Y RELACIONES INTERINSTITUCIONALES
PROCESO GESTIÓN DIALOGANDO CON EL MUNDO
PROCESO GESTIÓN FINANCIERA
PROCESO GESTIÓN FORMACIÓN Y APRENDIZAJE 
PROCESO GESTIÓN GRADUADOS
PROCESO GESTIÓN SISTEMAS Y TECNOLOGÍA</t>
  </si>
  <si>
    <t>PROCESO GESTIÓN ADMISIONES Y REGISTRO 
PROCESO GESTIÓN AUTOEVALUACIÓN Y ACREDITACIÓN
PROCESO GESTIÓN BIENES Y SERVICIOS
PROCESO GESTIÓN BIENESTAR UNIVERSITARIO 
PROCESO GESTIÓN COMUNICACIONE
PROCESO GESTIÓN DIALOGANDO CON EL MUNDO</t>
  </si>
  <si>
    <t>PROCESO GESTIÓN DE PROYECTOS ESPECIALES Y RELACIONES INTERINSTITUCIONALES
PROCESO GESTIÓN DIALOGANDO CON EL MUNDO
PROCESO GESTIÓN FINANCIERA 
PROCESO GESTIÓN GRADUADOS
PROCESO GESTIÓN INTERACCIÓN UNIVERSITARIA
PROCESO GESTIÓN SERVICIO DE ATENCIÓN AL CIUDADANO
PROCESO GESTIÓN TALENTO HUMANO</t>
  </si>
  <si>
    <t>PROCESO GESTIÓN COMUNICACIONES
PROCESO GESTIÓN CONTROL DISCIPLINARIO
PROCESO GESTIÓN CONTROL INTERNO
PROCESO GESTIÓN DE PROYECTOS ESPECIALES Y RELACIONES INTERINSTITUCIONALES
PROCESO GESTIÓN FORMACIÓN Y APRENDIZAJE 
PROCESO GESTIÓN SERVICIO DE ATENCIÓN AL CIUDADANO
PROCESO GESTIÓN TALENTO HUMANO</t>
  </si>
  <si>
    <t>PROCESO GESTIÓN APOYO ACADÉMICO
PROCESO GESTIÓN BIENES Y SERVICIOS
PROCESO GESTIÓN COMUNICACIONES
PROCESO GESTIÓN DOCUMENTAL
PROCESO GESTIÓN FINANCIERA
PROCESO GESTIÓN FORMACIÓN Y APRENDIZAJE 
PROCESO GESTIÓN JURÍDICA
PROCESO GESTIÓN SERVICIO DE ATENCIÓN AL CIUDADANO
PROCESO GESTIÓN TALENTO HUMANO</t>
  </si>
  <si>
    <t>PROCESO GESTIÓN AUTOEVALUACIÓN Y ACREDITACIÓN
PROCESO GESTIÓN BIENES Y SERVICIOS
PROCESO GESTIÓN CONTROL INTERNO
PROCESO GESTIÓN FINANCIERA
PROCESO GESTIÓN FORMACIÓN Y APRENDIZAJE 
PROCESO GESTIÓN GRADUADOS
PROCESO GESTIÓN SISTEMAS Y TECNOLOGÍA</t>
  </si>
  <si>
    <t>PROCESO GESTIÓN AUTOEVALUACIÓN Y ACREDITACIÓN
PROCESO GESTIÓN COMUNICACIONES
PROCESO GESTIÓN TALENTO HUMANO</t>
  </si>
  <si>
    <t xml:space="preserve">PROCESO GESTIÓN COMUNICACIONES
PROCESO GESTIÓN DE PROYECTOS ESPECIALES Y RELACIONES INTERINSTITUCIONALES
PROCESO GESTIÓN DOCUMENTAL
PROCESO GESTIÓN FORMACIÓN Y APRENDIZAJE </t>
  </si>
  <si>
    <t>PROCESO GESTIÓN APOYO ACADÉMICO
PROCESO GESTIÓN AUTOEVALUACIÓN Y ACREDITACIÓN
PROCESO GESTIÓN COMUNICACIONES
PROCESO GESTIÓN DE PROYECTOS ESPECIALES Y RELACIONES INTERINSTITUCIONALES
PROCESO GESTIÓN FORMACIÓN Y APRENDIZAJE 
PROCESO GESTIÓN PLANEACIÓN INSTITUCIONAL
PROCESO GESTIÓN SERVICIO DE ATENCIÓN AL CIUDADANO</t>
  </si>
  <si>
    <t>PROCESO GESTIÓN ADMISIONES Y REGISTRO
PROCESO GESTIÓN APOYO ACADÉMICO
PROCESO GESTIÓN AUTOEVALUACIÓN Y ACREDITACIÓN
PROCESO GESTIÓN BIENES Y SERVICIOS
PROCESO GESTIÓN BIENESTAR UNIVERSITARIO 
PROCESO GESTIÓN CIENCIA, TECNOLOGÍA E INNOVACIÓN
PROCESO GESTIÓN COMUNICACIONES
PROCESO GESTIÓN CONTROL INTERNO
PROCESO GESTIÓN FINANCIERA
PROCESO GESTIÓN FORMACIÓN Y APRENDIZAJE 
PROCESO GESTIÓN GRADUADOS
PROCESO GESTIÓN JURÍDICA
PROCESO GESTIÓN SERVICIO DE ATENCIÓN AL CIUDADANO
PROCESO GESTIÓN SISTEMAS INTEGRADOS 
PROCESO GESTIÓN SISTEMAS Y TECNOLOGÍA</t>
  </si>
  <si>
    <t>PROCESO GESTIÓN ADMISIONES Y REGISTRO
PROCESO GESTIÓN BIENES Y SERVICIOS
PROCESO GESTIÓN BIENESTAR UNIVERSITARIO 
PROCESO GESTIÓN COMUNICACIONES
PROCESO GESTIÓN CONTROL DISCIPLINARIO
PROCESO GESTIÓN CONTROL INTERNO
PROCESO GESTIÓN DE PROYECTOS ESPECIALES Y RELACIONES INTERINSTITUCIONALES
PROCESO GESTIÓN DOCUMENTAL
PROCESO GESTIÓN FINANCIERA
PROCESO GESTIÓN FORMACIÓN Y APRENDIZAJE 
PROCESO GESTIÓN GRADUADOS
PROCESO GESTIÓN SERVICIO DE ATENCIÓN AL CIUDADANO
PROCESO GESTIÓN TALENTO HUMANO</t>
  </si>
  <si>
    <t>PROCESO GESTIÓN AUTOEVALUACIÓN Y ACREDITACIÓN
PROCESO GESTIÓN CIENCIA, TECNOLOGÍA E INNOVACIÓN
PROCESO GESTIÓN CONTROL DISCIPLINARIO
PROCESO GESTIÓN CONTROL INTERNO
PROCESO GESTIÓN DE PROYECTOS ESPECIALES Y RELACIONES INTERINSTITUCIONALES
PROCESO GESTIÓN DOCUMENTAL
PROCESO GESTIÓN PLANEACIÓN INSTITUCIONAL</t>
  </si>
  <si>
    <t>PROCESO GESTIÓN APOYO ACADÉMICO
PROCESO GESTIÓN BIENESTAR UNIVERSITARIO 
PROCESO GESTIÓN DE PROYECTOS ESPECIALES Y RELACIONES INTERINSTITUCIONALES
PROCESO GESTIÓN DIALOGANDO CON EL MUNDO
PROCESO GESTIÓN FORMACIÓN Y APRENDIZAJE 
PROCESO GESTIÓN SISTEMAS INTEGRADOS</t>
  </si>
  <si>
    <t>PROCESO GESTIÓN BIENESTAR UNIVERSITARIO 
PROCESO GESTIÓN FORMACIÓN Y APRENDIZAJE 
PROCESO GESTIÓN GRADUADOS
PROCESO GESTIÓN PLANEACIÓN INSTITUCIONAL</t>
  </si>
  <si>
    <t>PROCESO GESTIÓN BIENES Y SERVICIOS
PROCESO GESTIÓN BIENESTAR UNIVERSITARIO 
PROCESO GESTIÓN COMUNICACIONES
PROCESO GESTIÓN CONTROL DISCIPLINARIO
PROCESO GESTIÓN DE PROYECTOS ESPECIALES Y RELACIONES INTERINSTITUCIONALES</t>
  </si>
  <si>
    <t>PROCESO GESTIÓN CIENCIA, TECNOLOGÍA E INNOVACIÓN
PROCESO GESTIÓN DOCUMENTAL</t>
  </si>
  <si>
    <t>PROCESO GESTIÓN AUTOEVALUACIÓN Y ACREDITACIÓN
PROCESO GESTIÓN BIENESTAR UNIVERSITARIO 
PROCESO GESTIÓN GRADUADOS
PROCESO GESTIÓN PLANEACIÓN INSTITUCIONAL</t>
  </si>
  <si>
    <t>PROCESO GESTIÓN BIENESTAR UNIVERSITARIO 
PROCESO GESTIÓN COMUNICACIONES
PROCESO GESTIÓN CONTROL DISCIPLINARIO
PROCESO GESTIÓN CONTROL INTERNO
PROCESO GESTIÓN JURÍDICA
PROCESO GESTIÓN SERVICIO DE ATENCIÓN AL CIUDADANO
PROCESO GESTIÓN SISTEMAS INTEGRADOS 
PROCESO GESTIÓN TALENTO HUMANO</t>
  </si>
  <si>
    <t xml:space="preserve">PROCESO GESTIÓN APOYO ACADÉMICO
PROCESO GESTIÓN AUTOEVALUACIÓN Y ACREDITACIÓN
PROCESO GESTIÓN BIENES Y SERVICIOS
PROCESO GESTIÓN BIENESTAR UNIVERSITARIO 
PROCESO GESTIÓN DIALOGANDO CON EL MUNDO
PROCESO GESTIÓN FORMACIÓN Y APRENDIZAJE 
PROCESO GESTIÓN INTERACCIÓN UNIVERSITARIA
PROCESO GESTIÓN SISTEMAS INTEGRADOS </t>
  </si>
  <si>
    <t>PROCESO GESTIÓN AUTOEVALUACIÓN Y ACREDITACIÓN
PROCESO GESTIÓN BIENES Y SERVICIOS
PROCESO GESTIÓN CIENCIA, TECNOLOGÍA E INNOVACIÓN
PROCESO GESTIÓN CONTROL DISCIPLINARIO
PROCESO GESTIÓN DOCUMENTAL
PROCESO GESTIÓN FINANCIERA
PROCESO GESTIÓN FORMACIÓN Y APRENDIZAJE 
PROCESO GESTIÓN GRADUADOS
PROCESO GESTIÓN INTERACCIÓN UNIVERSITARIA
PROCESO GESTIÓN PLANEACIÓN INSTITUCIONAL
PROCESO GESTIÓN TALENTO HUMANO</t>
  </si>
  <si>
    <t>PROCESO GESTIÓN CIENCIA, TECNOLOGÍA E INNOVACIÓN
PROCESO GESTIÓN DE PROYECTOS ESPECIALES Y RELACIONES INTERINSTITUCIONALES
PROCESO GESTIÓN DIALOGANDO CON EL MUNDO</t>
  </si>
  <si>
    <t>PROCESO GESTIÓN BIENESTAR UNIVERSITARIO 
PROCESO GESTIÓN CIENCIA, TECNOLOGÍA E INNOVACIÓN
PROCESO GESTIÓN DE PROYECTOS ESPECIALES Y RELACIONES INTERINSTITUCIONALES
PROCESO GESTIÓN FORMACIÓN Y APRENDIZAJE 
PROCESO GESTIÓN GRADUADOS</t>
  </si>
  <si>
    <t>PROCESO GESTIÓN ADMISIONES Y REGISTRO
PROCESO GESTIÓN APOYO ACADÉMICO
PROCESO GESTIÓN BIENES Y SERVICIOS
PROCESO GESTIÓN BIENESTAR UNIVERSITARIO
PROCESO GESTIÓN COMUNICACIONES
PROCESO GESTIÓN GRADUADOS
PROCESO GESTIÓN INTERACCIÓN UNIVERSITARIA
PROCESO GESTIÓN SERVICIO DE ATENCIÓN AL CIUDADANO
PROCESO GESTIÓN SISTEMAS Y TECNOLOGÍA</t>
  </si>
  <si>
    <t>PROCESO GESTIÓN ADMISIONES Y REGISTRO
PROCESO GESTIÓN CIENCIA, TECNOLOGÍA E INNOVACIÓN
PROCESO GESTIÓN COMUNICACIONES
PROCESO GESTIÓN CONTROL DISCIPLINARIO
PROCESO GESTIÓN CONTROL INTERNO
PROCESO GESTIÓN DOCUMENTAL
PROCESO GESTIÓN GRADUADOS
PROCESO GESTIÓN SISTEMAS Y TECNOLOGÍA</t>
  </si>
  <si>
    <t>PROCESO GESTIÓN ADMISIONES Y REGISTRO
PROCESO GESTIÓN APOYO ACADÉMICO
PROCESO GESTIÓN CONTROL DISCIPLINARIO
PROCESO GESTIÓN CONTROL INTERNO
PROCESO GESTIÓN FINANCIERA
PROCESO GESTIÓN SERVICIO DE ATENCIÓN AL CIUDADANO
PROCESO GESTIÓN SISTEMAS INTEGRADOS</t>
  </si>
  <si>
    <t>PROCESO GESTIÓN DE PROYECTOS ESPECIALES Y RELACIONES INTERINSTITUCIONALES
PROCESO GESTIÓN FINANCIERA</t>
  </si>
  <si>
    <t>PROCESO GESTIÓN AUTOEVALUACIÓN Y ACREDITACIÓN
PROCESO GESTIÓN BIENESTAR UNIVERSITARIO
PROCESO GESTIÓN CONTROL DISCIPLINARIO
PROCESO GESTIÓN DOCUMENTAL
PROCESO GESTIÓN FINANCIERA
PROCESO GESTIÓN INTERACCIÓN UNIVERSITARIA
PROCESO GESTIÓN JURÍDICA
PROCESO GESTIÓN SISTEMAS INTEGRADOS
PROCESO GESTIÓN SISTEMAS Y TECNOLOGÍA
PROCESO GESTIÓN TALENTO HUMANO</t>
  </si>
  <si>
    <t>PROCESO GESTIÓN AUTOEVALUACIÓN Y ACREDITACIÓN
PROCESO GESTIÓN BIENES Y SERVICIOS
PROCESO GESTIÓN BIENESTAR UNIVERSITARIO
PROCESO GESTIÓN COMUNICACIONES
PROCESO GESTIÓN CONTROL INTERNO
PROCESO GESTIÓN FORMACIÓN Y APRENDIZAJE 
PROCESO GESTIÓN GRADUADOS
PROCESO GESTIÓN INTERACCIÓN UNIVERSITARIA
PROCESO GESTIÓN PLANEACIÓN INSTITUCIONAL
PROCESO GESTIÓN SERVICIO DE ATENCIÓN AL CIUDADANO
PROCESO GESTIÓN SISTEMAS INTEGRADOS
PROCESO GESTIÓN TALENTO HUMANO</t>
  </si>
  <si>
    <t>PROCESO GESTIÓN APOYO ACADÉMICO
PROCESO GESTIÓN BIENESTAR UNIVERSITARIO
PROCESO GESTIÓN CIENCIA, TECNOLOGÍA E INNOVACIÓN
PROCESO GESTIÓN COMUNICACIONES
PROCESO GESTIÓN FINANCIERA
PROCESO GESTIÓN FORMACIÓN Y APRENDIZAJE 
PROCESO GESTIÓN GRADUADOS
PROCESO GESTIÓN INTERACCIÓN UNIVERSITARIA
PROCESO GESTIÓN SERVICIO DE ATENCIÓN AL CIUDADANO
PROCESO GESTIÓN TALENTO HUMANO</t>
  </si>
  <si>
    <t>PROCESO GESTIÓN AUTOEVALUACIÓN Y ACREDITACIÓN 
PROCESO GESTIÓN GRADUADOS</t>
  </si>
  <si>
    <t>PROCESO GESTIÓN AUTOEVALUACIÓN Y ACREDITACIÓN 
PROCESO GESTIÓN COMUNICACIONES
PROCESO GESTIÓN FORMACIÓN Y APRENDIZAJE 
PROCESO GESTIÓN GRADUADOS
PROCESO GESTIÓN SISTEMAS Y TECNOLOGÍA
PROCESO GESTIÓN TALENTO HUMANO</t>
  </si>
  <si>
    <t>PROCESO GESTIÓN BIENES Y SERVICIOS
PROCESO GESTIÓN COMUNICACIONES
PROCESO GESTIÓN DOCUMENTAL
PROCESO GESTIÓN FINANCIERA
PROCESO GESTIÓN INTERACCIÓN UNIVERSITARIA
PROCESO GESTIÓN SERVICIO DE ATENCIÓN AL CIUDADANO
PROCESO GESTIÓN SISTEMAS INTEGRADOS
PROCESO GESTIÓN SISTEMAS Y TECNOLOGÍA</t>
  </si>
  <si>
    <t>PROCESO GESTIÓN AUTOEVALUACIÓN Y ACREDITACIÓN 
PROCESO GESTIÓN BIENES Y SERVICIOS
PROCESO GESTIÓN BIENESTAR UNIVERSITARIO
PROCESO GESTIÓN GRADUADOS
PROCESO GESTIÓN SISTEMAS INTEGRADOS</t>
  </si>
  <si>
    <t>PROCESO GESTIÓN CONTROL DISCIPLINARIO
PROCESO GESTIÓN CONTROL INTERNO
PROCESO GESTIÓN JURÍDICA</t>
  </si>
  <si>
    <t>PROCESO GESTIÓN CIENCIA, TECNOLOGÍA E INNOVACIÓN
PROCESO GESTIÓN CONTROL INTERNO
PROCESO GESTIÓN DOCUMENTAL
PROCESO GESTIÓN FORMACIÓN Y APRENDIZAJE
PROCESO GESTIÓN SISTEMAS INTEGRADOS</t>
  </si>
  <si>
    <t>PROCESO GESTIÓN ADMISIONES Y REGISTRO
PROCESO GESTIÓN APOYO ACADÉMICO
PROCESO GESTIÓN BIENES Y SERVICIOS
PROCESO GESTIÓN CIENCIA, TECNOLOGÍA E INNOVACIÓN
PROCESO GESTIÓN DE PROYECTOS ESPECIALES Y RELACIONES INTERINSTITUCIONALES
PROCESO GESTIÓN DIALOGANDO CON EL MUNDO
PROCESO GESTIÓN GRADUADOS
PROCESO GESTIÓN SERVICIO DE ATENCIÓN AL CIUDADANO
PROCESO GESTIÓN SISTEMAS INTEGRADOS
PROCESO GESTIÓN TALENTO HUMANO</t>
  </si>
  <si>
    <t>CONTEXTO INTERNO</t>
  </si>
  <si>
    <t>CONTEXTO EXTERNO</t>
  </si>
  <si>
    <t>CANTIDAD DEBILIDADES 2025</t>
  </si>
  <si>
    <t>CANTIDAD DEBILIDADES 2024</t>
  </si>
  <si>
    <t>CANTIDAD FORTALEZAS 2025</t>
  </si>
  <si>
    <t>CANTIDAD FORTALEZAS 2024</t>
  </si>
  <si>
    <t>CANTIDAD AMENAZAS 2025</t>
  </si>
  <si>
    <t>CANTIDAD AMENAZAS 2024</t>
  </si>
  <si>
    <t>CANTIDAD OPORTUNIDADES 2024</t>
  </si>
  <si>
    <t>CANTIDAD DEBILIDADES 2023</t>
  </si>
  <si>
    <t>CANTIDAD DEBILIDADES 2022</t>
  </si>
  <si>
    <t>CANTIDAD DEBILIDADES 2021</t>
  </si>
  <si>
    <t>CANTIDAD AMENAZAS 2023</t>
  </si>
  <si>
    <t>CANTIDAD AMENAZAS 2022</t>
  </si>
  <si>
    <t>CANTIDAD AMENAZAS 2021</t>
  </si>
  <si>
    <t>CANTIDAD OPORTUNIDADES 2023</t>
  </si>
  <si>
    <t>CANTIDAD OPORTUNIDADES 2022</t>
  </si>
  <si>
    <t>CANTIDAD OPORTUNIDADES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</si>
</sst>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11"/>
      <color theme="1"/>
      <name val="Calibri"/>
      <family val="2"/>
      <scheme val="minor"/>
    </font>
    <font>
      <b/>
      <sz val="11"/>
      <color theme="1"/>
      <name val="Calibri"/>
      <family val="2"/>
      <scheme val="minor"/>
    </font>
    <font>
      <sz val="11"/>
      <color theme="1"/>
      <name val="Arial"/>
      <family val="2"/>
    </font>
    <font>
      <sz val="11"/>
      <color theme="1"/>
      <name val="Calibri"/>
      <family val="2"/>
      <scheme val="minor"/>
    </font>
    <font>
      <sz val="11"/>
      <name val="Calibri"/>
      <family val="2"/>
      <scheme val="minor"/>
    </font>
    <font>
      <b/>
      <sz val="12"/>
      <color rgb="FF002060"/>
      <name val="Calibri"/>
      <family val="2"/>
      <scheme val="minor"/>
    </font>
    <font>
      <b/>
      <sz val="11"/>
      <color rgb="FF002060"/>
      <name val="Calibri"/>
      <family val="2"/>
      <scheme val="minor"/>
    </font>
    <font>
      <b/>
      <sz val="12"/>
      <color theme="1"/>
      <name val="Calibri"/>
      <family val="2"/>
      <scheme val="minor"/>
    </font>
    <font>
      <b/>
      <sz val="12"/>
      <name val="Calibri"/>
      <family val="2"/>
      <scheme val="minor"/>
    </font>
    <font>
      <b/>
      <sz val="14"/>
      <color rgb="FF002060"/>
      <name val="Calibri"/>
      <family val="2"/>
      <scheme val="minor"/>
    </font>
    <font>
      <b/>
      <sz val="16"/>
      <color theme="0"/>
      <name val="Calibri"/>
      <family val="2"/>
      <scheme val="minor"/>
    </font>
    <font>
      <b/>
      <sz val="11"/>
      <color theme="0"/>
      <name val="Calibri"/>
      <family val="2"/>
      <scheme val="minor"/>
    </font>
    <font>
      <b/>
      <sz val="13"/>
      <color theme="0"/>
      <name val="Arial"/>
      <family val="2"/>
    </font>
    <font>
      <b/>
      <sz val="11"/>
      <color theme="0"/>
      <name val="Arial"/>
      <family val="2"/>
    </font>
    <font>
      <sz val="11"/>
      <name val="Arial"/>
      <family val="2"/>
    </font>
    <font>
      <sz val="11"/>
      <color rgb="FF000000"/>
      <name val="Arial"/>
      <family val="2"/>
    </font>
    <font>
      <sz val="11"/>
      <color rgb="FFFF0000"/>
      <name val="Arial"/>
      <family val="2"/>
    </font>
    <font>
      <i/>
      <sz val="11"/>
      <name val="Arial"/>
      <family val="2"/>
    </font>
    <font>
      <b/>
      <sz val="11"/>
      <name val="Arial"/>
      <family val="2"/>
    </font>
    <font>
      <b/>
      <sz val="11"/>
      <color theme="1"/>
      <name val="Arial"/>
      <family val="2"/>
    </font>
    <font>
      <b/>
      <sz val="11"/>
      <color theme="1"/>
      <name val="Century Gothic"/>
      <family val="2"/>
    </font>
    <font>
      <sz val="12"/>
      <color theme="1"/>
      <name val="Arial"/>
      <family val="2"/>
    </font>
    <font>
      <sz val="11"/>
      <color theme="1"/>
      <name val="Century Gothic"/>
      <family val="2"/>
    </font>
    <font>
      <b/>
      <sz val="12"/>
      <color theme="1"/>
      <name val="Arial"/>
      <family val="2"/>
    </font>
    <font>
      <sz val="10.5"/>
      <color theme="1"/>
      <name val="Arial"/>
      <family val="2"/>
    </font>
    <font>
      <sz val="11"/>
      <color theme="0"/>
      <name val="Arial"/>
      <family val="2"/>
    </font>
    <font>
      <sz val="10"/>
      <name val="Arial"/>
      <family val="2"/>
    </font>
    <font>
      <b/>
      <sz val="12"/>
      <color theme="0"/>
      <name val="Calibri"/>
      <family val="2"/>
      <scheme val="minor"/>
    </font>
    <font>
      <sz val="8"/>
      <name val="Calibri"/>
      <family val="2"/>
      <scheme val="minor"/>
    </font>
    <font>
      <b/>
      <sz val="12"/>
      <color theme="0"/>
      <name val="Arial"/>
      <family val="2"/>
    </font>
    <font>
      <sz val="12"/>
      <name val="Arial"/>
      <family val="2"/>
    </font>
    <font>
      <b/>
      <sz val="12"/>
      <color rgb="FF002060"/>
      <name val="Arial"/>
      <family val="2"/>
    </font>
  </fonts>
  <fills count="20">
    <fill>
      <patternFill patternType="none"/>
    </fill>
    <fill>
      <patternFill patternType="gray125"/>
    </fill>
    <fill>
      <patternFill patternType="solid">
        <fgColor theme="0"/>
        <bgColor indexed="64"/>
      </patternFill>
    </fill>
    <fill>
      <patternFill patternType="solid">
        <fgColor rgb="FF0F3D38"/>
        <bgColor indexed="64"/>
      </patternFill>
    </fill>
    <fill>
      <patternFill patternType="solid">
        <fgColor theme="0"/>
        <bgColor rgb="FFFFFFFF"/>
      </patternFill>
    </fill>
    <fill>
      <patternFill patternType="solid">
        <fgColor rgb="FFEDE395"/>
        <bgColor indexed="64"/>
      </patternFill>
    </fill>
    <fill>
      <patternFill patternType="solid">
        <fgColor rgb="FFD5CA3D"/>
        <bgColor indexed="64"/>
      </patternFill>
    </fill>
    <fill>
      <patternFill patternType="solid">
        <fgColor rgb="FFFFFF00"/>
        <bgColor indexed="64"/>
      </patternFill>
    </fill>
    <fill>
      <patternFill patternType="solid">
        <fgColor rgb="FFF3FEFF"/>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rgb="FFCCFFCA"/>
        <bgColor indexed="64"/>
      </patternFill>
    </fill>
    <fill>
      <patternFill patternType="solid">
        <fgColor rgb="FF00482B"/>
        <bgColor indexed="64"/>
      </patternFill>
    </fill>
    <fill>
      <patternFill patternType="solid">
        <fgColor rgb="FF91C260"/>
        <bgColor indexed="64"/>
      </patternFill>
    </fill>
    <fill>
      <patternFill patternType="solid">
        <fgColor rgb="FF79C0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rgb="FF4B514E"/>
      </left>
      <right style="thin">
        <color rgb="FF4B514E"/>
      </right>
      <top style="thin">
        <color rgb="FF4B514E"/>
      </top>
      <bottom style="thin">
        <color rgb="FF4B514E"/>
      </bottom>
      <diagonal/>
    </border>
    <border>
      <left/>
      <right/>
      <top style="thin">
        <color rgb="FF4B514E"/>
      </top>
      <bottom style="thin">
        <color rgb="FF4B514E"/>
      </bottom>
      <diagonal/>
    </border>
    <border>
      <left/>
      <right/>
      <top style="thin">
        <color rgb="FF4B514E"/>
      </top>
      <bottom/>
      <diagonal/>
    </border>
    <border>
      <left/>
      <right/>
      <top style="thin">
        <color indexed="64"/>
      </top>
      <bottom style="thin">
        <color indexed="64"/>
      </bottom>
      <diagonal/>
    </border>
    <border>
      <left style="thin">
        <color rgb="FF4B514E"/>
      </left>
      <right style="thin">
        <color rgb="FF4B514E"/>
      </right>
      <top style="thin">
        <color rgb="FF4B514E"/>
      </top>
      <bottom/>
      <diagonal/>
    </border>
    <border>
      <left style="thin">
        <color rgb="FF4B514E"/>
      </left>
      <right style="thin">
        <color rgb="FF4B514E"/>
      </right>
      <top/>
      <bottom style="thin">
        <color rgb="FF4B514E"/>
      </bottom>
      <diagonal/>
    </border>
    <border>
      <left style="thin">
        <color rgb="FF4B514E"/>
      </left>
      <right/>
      <top style="thin">
        <color rgb="FF4B514E"/>
      </top>
      <bottom style="thin">
        <color rgb="FF4B514E"/>
      </bottom>
      <diagonal/>
    </border>
    <border>
      <left style="thin">
        <color rgb="FF4B514E"/>
      </left>
      <right/>
      <top style="thin">
        <color rgb="FF4B514E"/>
      </top>
      <bottom/>
      <diagonal/>
    </border>
    <border>
      <left/>
      <right style="thin">
        <color theme="4" tint="0.39997558519241921"/>
      </right>
      <top style="thin">
        <color theme="4" tint="0.39997558519241921"/>
      </top>
      <bottom style="thin">
        <color theme="4" tint="0.39997558519241921"/>
      </bottom>
      <diagonal/>
    </border>
  </borders>
  <cellStyleXfs count="2">
    <xf numFmtId="0" fontId="0" fillId="0" borderId="0"/>
    <xf numFmtId="9" fontId="3" fillId="0" borderId="0" applyFont="0" applyFill="0" applyBorder="0" applyAlignment="0" applyProtection="0"/>
  </cellStyleXfs>
  <cellXfs count="281">
    <xf numFmtId="0" fontId="0" fillId="0" borderId="0" xfId="0"/>
    <xf numFmtId="0" fontId="0" fillId="2" borderId="0" xfId="0" applyFill="1"/>
    <xf numFmtId="0" fontId="1" fillId="2" borderId="0" xfId="0" applyFont="1" applyFill="1"/>
    <xf numFmtId="0" fontId="0" fillId="2" borderId="0" xfId="0" applyFill="1" applyAlignment="1">
      <alignment horizontal="left"/>
    </xf>
    <xf numFmtId="0" fontId="0" fillId="2" borderId="0" xfId="0" applyFill="1" applyAlignment="1">
      <alignment horizontal="left" inden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 fillId="2" borderId="0" xfId="0" applyFont="1" applyFill="1" applyAlignment="1">
      <alignment horizontal="center" vertical="center"/>
    </xf>
    <xf numFmtId="0" fontId="9"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0" fillId="2" borderId="0" xfId="0" applyFill="1" applyAlignment="1">
      <alignment horizontal="center" vertical="center" wrapText="1"/>
    </xf>
    <xf numFmtId="0" fontId="0" fillId="2" borderId="1" xfId="0" applyFill="1" applyBorder="1" applyAlignment="1">
      <alignment horizontal="center" vertical="center"/>
    </xf>
    <xf numFmtId="0" fontId="4" fillId="2" borderId="1" xfId="0" applyFont="1" applyFill="1" applyBorder="1" applyAlignment="1">
      <alignment vertical="center" wrapText="1"/>
    </xf>
    <xf numFmtId="0" fontId="0" fillId="2" borderId="1" xfId="0" applyFill="1" applyBorder="1" applyAlignment="1">
      <alignment horizontal="center" vertical="center" wrapText="1"/>
    </xf>
    <xf numFmtId="0" fontId="0" fillId="2" borderId="1" xfId="0" applyFill="1" applyBorder="1" applyAlignment="1">
      <alignment horizontal="left" vertical="center" wrapText="1"/>
    </xf>
    <xf numFmtId="0" fontId="9" fillId="2" borderId="3" xfId="0" applyFont="1" applyFill="1" applyBorder="1" applyAlignment="1">
      <alignment horizontal="center" vertical="center" wrapText="1"/>
    </xf>
    <xf numFmtId="0" fontId="0" fillId="2" borderId="1" xfId="0" applyFill="1" applyBorder="1" applyAlignment="1">
      <alignment horizontal="left" vertical="center"/>
    </xf>
    <xf numFmtId="0" fontId="4" fillId="2" borderId="1" xfId="0" applyFont="1" applyFill="1" applyBorder="1" applyAlignment="1">
      <alignment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7"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8" fillId="2" borderId="1" xfId="0" applyFont="1" applyFill="1" applyBorder="1" applyAlignment="1">
      <alignment vertical="center" wrapText="1"/>
    </xf>
    <xf numFmtId="0" fontId="8" fillId="2" borderId="1" xfId="0" applyFont="1" applyFill="1" applyBorder="1" applyAlignment="1">
      <alignment horizontal="left" vertical="center" wrapText="1"/>
    </xf>
    <xf numFmtId="0" fontId="9" fillId="2" borderId="0" xfId="0" applyFont="1" applyFill="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0" xfId="0" applyFont="1" applyFill="1" applyAlignment="1">
      <alignment horizontal="center"/>
    </xf>
    <xf numFmtId="0" fontId="0" fillId="2" borderId="0" xfId="0" applyFill="1" applyAlignment="1">
      <alignment horizontal="center" vertical="center"/>
    </xf>
    <xf numFmtId="0" fontId="4" fillId="2" borderId="0" xfId="0" applyFont="1" applyFill="1" applyAlignment="1">
      <alignment vertical="center"/>
    </xf>
    <xf numFmtId="0" fontId="0" fillId="2" borderId="0" xfId="0" applyFill="1" applyAlignment="1">
      <alignment horizontal="left" vertical="center"/>
    </xf>
    <xf numFmtId="0" fontId="4" fillId="0" borderId="1" xfId="0" applyFont="1" applyBorder="1" applyAlignment="1">
      <alignment vertical="center" wrapText="1"/>
    </xf>
    <xf numFmtId="0" fontId="0" fillId="5" borderId="10" xfId="0" applyFill="1" applyBorder="1"/>
    <xf numFmtId="9" fontId="0" fillId="5" borderId="1" xfId="1" applyFont="1" applyFill="1" applyBorder="1"/>
    <xf numFmtId="9" fontId="0" fillId="5" borderId="11" xfId="0" applyNumberFormat="1" applyFill="1" applyBorder="1"/>
    <xf numFmtId="0" fontId="0" fillId="5" borderId="12" xfId="0" applyFill="1" applyBorder="1"/>
    <xf numFmtId="9" fontId="0" fillId="5" borderId="13" xfId="1" applyFont="1" applyFill="1" applyBorder="1"/>
    <xf numFmtId="9" fontId="0" fillId="5" borderId="14" xfId="0" applyNumberFormat="1" applyFill="1" applyBorder="1"/>
    <xf numFmtId="0" fontId="11" fillId="3" borderId="17" xfId="0" applyFont="1" applyFill="1" applyBorder="1" applyAlignment="1">
      <alignment horizontal="left"/>
    </xf>
    <xf numFmtId="0" fontId="11" fillId="3" borderId="18" xfId="0" applyFont="1" applyFill="1" applyBorder="1" applyAlignment="1">
      <alignment horizontal="left"/>
    </xf>
    <xf numFmtId="0" fontId="11" fillId="3" borderId="18" xfId="0" applyFont="1" applyFill="1" applyBorder="1" applyAlignment="1">
      <alignment horizontal="left" wrapText="1"/>
    </xf>
    <xf numFmtId="0" fontId="11" fillId="3" borderId="19" xfId="0" applyFont="1" applyFill="1" applyBorder="1" applyAlignment="1">
      <alignment horizontal="left"/>
    </xf>
    <xf numFmtId="0" fontId="1" fillId="6" borderId="20" xfId="0" applyFont="1" applyFill="1" applyBorder="1"/>
    <xf numFmtId="0" fontId="11" fillId="3" borderId="17" xfId="0" applyFont="1" applyFill="1" applyBorder="1" applyAlignment="1">
      <alignment horizontal="left" wrapText="1"/>
    </xf>
    <xf numFmtId="0" fontId="1" fillId="6" borderId="21" xfId="0" applyFont="1" applyFill="1" applyBorder="1"/>
    <xf numFmtId="0" fontId="0" fillId="5" borderId="7" xfId="0" applyFill="1" applyBorder="1"/>
    <xf numFmtId="9" fontId="0" fillId="5" borderId="8" xfId="1" applyFont="1" applyFill="1" applyBorder="1"/>
    <xf numFmtId="0" fontId="2" fillId="2" borderId="0" xfId="0" applyFont="1" applyFill="1" applyAlignment="1">
      <alignment vertical="center"/>
    </xf>
    <xf numFmtId="0" fontId="2" fillId="2" borderId="1" xfId="0" applyFont="1" applyFill="1" applyBorder="1" applyAlignment="1">
      <alignment wrapText="1"/>
    </xf>
    <xf numFmtId="0" fontId="2" fillId="2" borderId="1" xfId="0" applyFont="1" applyFill="1" applyBorder="1" applyAlignment="1">
      <alignment horizontal="left" vertical="center" wrapText="1"/>
    </xf>
    <xf numFmtId="0" fontId="2" fillId="2" borderId="0" xfId="0" applyFont="1" applyFill="1"/>
    <xf numFmtId="0" fontId="12" fillId="3" borderId="16"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5" xfId="0" applyFont="1" applyFill="1" applyBorder="1" applyAlignment="1">
      <alignment vertical="center" wrapText="1"/>
    </xf>
    <xf numFmtId="0" fontId="2" fillId="2" borderId="0" xfId="0" applyFont="1" applyFill="1" applyAlignment="1">
      <alignment vertical="center" wrapText="1"/>
    </xf>
    <xf numFmtId="0" fontId="2" fillId="2" borderId="0" xfId="0" applyFont="1" applyFill="1" applyAlignment="1">
      <alignment wrapText="1"/>
    </xf>
    <xf numFmtId="164" fontId="0" fillId="5" borderId="8" xfId="1" applyNumberFormat="1" applyFont="1" applyFill="1" applyBorder="1"/>
    <xf numFmtId="164" fontId="0" fillId="5" borderId="9" xfId="0" applyNumberFormat="1" applyFill="1" applyBorder="1"/>
    <xf numFmtId="164" fontId="0" fillId="5" borderId="11" xfId="0" applyNumberFormat="1" applyFill="1" applyBorder="1"/>
    <xf numFmtId="164" fontId="0" fillId="5" borderId="1" xfId="1" applyNumberFormat="1" applyFont="1" applyFill="1" applyBorder="1"/>
    <xf numFmtId="164" fontId="0" fillId="5" borderId="13" xfId="1" applyNumberFormat="1" applyFont="1" applyFill="1" applyBorder="1"/>
    <xf numFmtId="0" fontId="11" fillId="3" borderId="24" xfId="0" applyFont="1" applyFill="1" applyBorder="1" applyAlignment="1">
      <alignment horizontal="left"/>
    </xf>
    <xf numFmtId="0" fontId="0" fillId="5" borderId="25" xfId="0" applyFill="1" applyBorder="1"/>
    <xf numFmtId="0" fontId="21" fillId="2" borderId="0" xfId="0" applyFont="1" applyFill="1" applyAlignment="1">
      <alignment wrapText="1"/>
    </xf>
    <xf numFmtId="0" fontId="21" fillId="2" borderId="1" xfId="0" applyFont="1" applyFill="1" applyBorder="1" applyAlignment="1">
      <alignment wrapText="1"/>
    </xf>
    <xf numFmtId="0" fontId="0" fillId="2" borderId="0" xfId="0" pivotButton="1" applyFill="1"/>
    <xf numFmtId="0" fontId="1" fillId="6" borderId="7" xfId="0" pivotButton="1" applyFont="1" applyFill="1" applyBorder="1"/>
    <xf numFmtId="0" fontId="1" fillId="6" borderId="8" xfId="0" pivotButton="1" applyFont="1" applyFill="1" applyBorder="1"/>
    <xf numFmtId="0" fontId="1" fillId="6" borderId="9" xfId="0" pivotButton="1" applyFont="1" applyFill="1" applyBorder="1"/>
    <xf numFmtId="0" fontId="1" fillId="6" borderId="22" xfId="0" pivotButton="1" applyFont="1" applyFill="1" applyBorder="1"/>
    <xf numFmtId="0" fontId="1" fillId="6" borderId="23" xfId="0" pivotButton="1" applyFont="1" applyFill="1" applyBorder="1"/>
    <xf numFmtId="0" fontId="1" fillId="6" borderId="16" xfId="0" pivotButton="1" applyFont="1" applyFill="1" applyBorder="1"/>
    <xf numFmtId="0" fontId="0" fillId="2" borderId="30" xfId="0" applyFill="1" applyBorder="1" applyAlignment="1">
      <alignment horizontal="left"/>
    </xf>
    <xf numFmtId="0" fontId="0" fillId="2" borderId="30" xfId="0" applyFill="1" applyBorder="1"/>
    <xf numFmtId="0" fontId="0" fillId="2" borderId="30" xfId="0" applyFill="1" applyBorder="1" applyAlignment="1">
      <alignment horizontal="left" indent="1"/>
    </xf>
    <xf numFmtId="0" fontId="22" fillId="2" borderId="0" xfId="0" applyFont="1" applyFill="1" applyAlignment="1">
      <alignment horizontal="center" vertical="center"/>
    </xf>
    <xf numFmtId="0" fontId="11" fillId="3" borderId="31" xfId="0" applyFont="1" applyFill="1" applyBorder="1" applyAlignment="1">
      <alignment horizontal="left"/>
    </xf>
    <xf numFmtId="0" fontId="11" fillId="3" borderId="32" xfId="0" applyFont="1" applyFill="1" applyBorder="1" applyAlignment="1">
      <alignment horizontal="left"/>
    </xf>
    <xf numFmtId="0" fontId="11" fillId="3" borderId="32" xfId="0" applyFont="1" applyFill="1" applyBorder="1" applyAlignment="1">
      <alignment horizontal="left" wrapText="1"/>
    </xf>
    <xf numFmtId="0" fontId="11" fillId="3" borderId="33" xfId="0" applyFont="1" applyFill="1" applyBorder="1" applyAlignment="1">
      <alignment horizontal="left"/>
    </xf>
    <xf numFmtId="0" fontId="22" fillId="2" borderId="30" xfId="0" applyFont="1" applyFill="1" applyBorder="1" applyAlignment="1">
      <alignment horizontal="center" vertical="center"/>
    </xf>
    <xf numFmtId="0" fontId="22" fillId="7" borderId="30" xfId="0" applyFont="1" applyFill="1" applyBorder="1" applyAlignment="1">
      <alignment horizontal="center" vertical="center"/>
    </xf>
    <xf numFmtId="0" fontId="20" fillId="2" borderId="30" xfId="0" applyFont="1" applyFill="1" applyBorder="1" applyAlignment="1">
      <alignment horizontal="center" vertical="center"/>
    </xf>
    <xf numFmtId="0" fontId="0" fillId="2" borderId="0" xfId="0" applyFill="1" applyAlignment="1">
      <alignment horizontal="left" indent="2"/>
    </xf>
    <xf numFmtId="0" fontId="14" fillId="2"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9" fillId="2" borderId="2" xfId="0" applyFont="1" applyFill="1" applyBorder="1" applyAlignment="1">
      <alignment vertical="center" wrapText="1"/>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23" fillId="2" borderId="0" xfId="0" applyFont="1" applyFill="1" applyAlignment="1">
      <alignment horizontal="center" vertical="center" wrapText="1"/>
    </xf>
    <xf numFmtId="0" fontId="24" fillId="2" borderId="0" xfId="0" applyFont="1" applyFill="1"/>
    <xf numFmtId="0" fontId="21" fillId="2" borderId="0" xfId="0" applyFont="1" applyFill="1" applyAlignment="1">
      <alignment horizontal="center" vertical="center" wrapText="1"/>
    </xf>
    <xf numFmtId="0" fontId="19" fillId="2" borderId="0" xfId="0" applyFont="1" applyFill="1" applyAlignment="1">
      <alignment horizontal="center" vertical="center"/>
    </xf>
    <xf numFmtId="0" fontId="19" fillId="2" borderId="1" xfId="0" applyFont="1" applyFill="1" applyBorder="1" applyAlignment="1">
      <alignment horizontal="center" vertical="center"/>
    </xf>
    <xf numFmtId="0" fontId="14" fillId="2" borderId="1" xfId="0" applyFont="1" applyFill="1" applyBorder="1" applyAlignment="1">
      <alignment vertical="center" wrapText="1"/>
    </xf>
    <xf numFmtId="0" fontId="14" fillId="2" borderId="1" xfId="0" applyFont="1" applyFill="1" applyBorder="1" applyAlignment="1">
      <alignment horizontal="justify" vertical="center" wrapText="1"/>
    </xf>
    <xf numFmtId="0" fontId="14" fillId="4" borderId="1" xfId="0" applyFont="1" applyFill="1" applyBorder="1" applyAlignment="1">
      <alignment horizontal="justify" vertical="center" wrapText="1"/>
    </xf>
    <xf numFmtId="0" fontId="19" fillId="2" borderId="1" xfId="0" applyFont="1" applyFill="1" applyBorder="1" applyAlignment="1">
      <alignment horizontal="center" vertical="center" wrapText="1"/>
    </xf>
    <xf numFmtId="0" fontId="2" fillId="2" borderId="6" xfId="0" applyFont="1" applyFill="1" applyBorder="1" applyAlignment="1">
      <alignment wrapText="1"/>
    </xf>
    <xf numFmtId="0" fontId="15" fillId="2" borderId="1" xfId="0" applyFont="1" applyFill="1" applyBorder="1" applyAlignment="1">
      <alignment vertical="center" wrapText="1"/>
    </xf>
    <xf numFmtId="0" fontId="2" fillId="2" borderId="1" xfId="0" applyFont="1" applyFill="1" applyBorder="1" applyAlignment="1">
      <alignment vertical="center" wrapText="1"/>
    </xf>
    <xf numFmtId="0" fontId="14" fillId="2" borderId="1" xfId="0" applyFont="1" applyFill="1" applyBorder="1" applyAlignment="1">
      <alignment wrapText="1"/>
    </xf>
    <xf numFmtId="0" fontId="2" fillId="4" borderId="1" xfId="0" applyFont="1" applyFill="1" applyBorder="1" applyAlignment="1">
      <alignment vertical="top" wrapText="1"/>
    </xf>
    <xf numFmtId="0" fontId="2" fillId="2" borderId="1" xfId="0" applyFont="1" applyFill="1" applyBorder="1" applyAlignment="1">
      <alignment horizontal="center" vertical="center" wrapText="1"/>
    </xf>
    <xf numFmtId="0" fontId="14" fillId="2" borderId="34" xfId="0" applyFont="1" applyFill="1" applyBorder="1" applyAlignment="1">
      <alignment horizontal="justify" vertical="center" wrapText="1"/>
    </xf>
    <xf numFmtId="0" fontId="14" fillId="2" borderId="35" xfId="0" applyFont="1" applyFill="1" applyBorder="1" applyAlignment="1">
      <alignment horizontal="justify" vertical="center" wrapText="1"/>
    </xf>
    <xf numFmtId="0" fontId="14" fillId="2" borderId="36" xfId="0" applyFont="1" applyFill="1" applyBorder="1" applyAlignment="1">
      <alignment horizontal="justify" vertical="center" wrapText="1"/>
    </xf>
    <xf numFmtId="0" fontId="14" fillId="2" borderId="37" xfId="0" applyFont="1" applyFill="1" applyBorder="1" applyAlignment="1">
      <alignment horizontal="justify" vertical="center" wrapText="1"/>
    </xf>
    <xf numFmtId="0" fontId="14" fillId="2" borderId="1" xfId="0" applyFont="1" applyFill="1" applyBorder="1" applyAlignment="1">
      <alignment horizontal="justify" vertical="center"/>
    </xf>
    <xf numFmtId="0" fontId="19" fillId="2" borderId="2" xfId="0" applyFont="1" applyFill="1" applyBorder="1" applyAlignment="1">
      <alignment horizontal="center" vertical="center"/>
    </xf>
    <xf numFmtId="0" fontId="14" fillId="2" borderId="38" xfId="0" applyFont="1" applyFill="1" applyBorder="1" applyAlignment="1">
      <alignment horizontal="justify" vertical="center" wrapText="1"/>
    </xf>
    <xf numFmtId="0" fontId="14" fillId="2" borderId="34" xfId="0" applyFont="1" applyFill="1" applyBorder="1" applyAlignment="1">
      <alignment vertical="center" wrapText="1"/>
    </xf>
    <xf numFmtId="0" fontId="14" fillId="2" borderId="39" xfId="0" applyFont="1" applyFill="1" applyBorder="1" applyAlignment="1">
      <alignment vertical="center" wrapText="1"/>
    </xf>
    <xf numFmtId="0" fontId="14" fillId="2" borderId="34" xfId="0" applyFont="1" applyFill="1" applyBorder="1" applyAlignment="1">
      <alignment wrapText="1"/>
    </xf>
    <xf numFmtId="0" fontId="0" fillId="2" borderId="42" xfId="0" applyFill="1" applyBorder="1"/>
    <xf numFmtId="0" fontId="0" fillId="2" borderId="42" xfId="0" applyFill="1" applyBorder="1" applyAlignment="1">
      <alignment horizontal="left" indent="1"/>
    </xf>
    <xf numFmtId="1" fontId="0" fillId="2" borderId="0" xfId="0" applyNumberFormat="1" applyFill="1"/>
    <xf numFmtId="0" fontId="20" fillId="2" borderId="0" xfId="0" applyFont="1" applyFill="1" applyAlignment="1">
      <alignment horizontal="center" vertical="center"/>
    </xf>
    <xf numFmtId="0" fontId="1" fillId="0" borderId="0" xfId="0" applyFont="1"/>
    <xf numFmtId="0" fontId="18" fillId="2" borderId="1" xfId="0" applyFont="1" applyFill="1" applyBorder="1" applyAlignment="1">
      <alignment horizontal="center" vertical="center" wrapText="1"/>
    </xf>
    <xf numFmtId="0" fontId="14" fillId="4" borderId="1" xfId="0" applyFont="1" applyFill="1" applyBorder="1" applyAlignment="1">
      <alignment horizontal="left" vertical="center" wrapText="1"/>
    </xf>
    <xf numFmtId="0" fontId="15" fillId="4" borderId="1"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9"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4" xfId="0" applyFont="1" applyFill="1" applyBorder="1" applyAlignment="1">
      <alignment vertical="center" wrapText="1"/>
    </xf>
    <xf numFmtId="0" fontId="26" fillId="2" borderId="1" xfId="0" applyFont="1" applyFill="1" applyBorder="1" applyAlignment="1">
      <alignment horizontal="justify" vertical="center" wrapText="1"/>
    </xf>
    <xf numFmtId="0" fontId="14" fillId="4" borderId="34" xfId="0" applyFont="1" applyFill="1" applyBorder="1" applyAlignment="1">
      <alignment vertical="center" wrapText="1"/>
    </xf>
    <xf numFmtId="0" fontId="14" fillId="4" borderId="40" xfId="0" applyFont="1" applyFill="1" applyBorder="1" applyAlignment="1">
      <alignment vertical="center" wrapText="1"/>
    </xf>
    <xf numFmtId="0" fontId="14" fillId="4" borderId="41" xfId="0" applyFont="1" applyFill="1" applyBorder="1" applyAlignment="1">
      <alignment vertical="center" wrapText="1"/>
    </xf>
    <xf numFmtId="0" fontId="14" fillId="4" borderId="1" xfId="0" applyFont="1" applyFill="1" applyBorder="1" applyAlignment="1">
      <alignment vertical="center" wrapText="1"/>
    </xf>
    <xf numFmtId="0" fontId="15" fillId="4" borderId="1" xfId="0" applyFont="1" applyFill="1" applyBorder="1" applyAlignment="1">
      <alignment vertical="center" wrapText="1"/>
    </xf>
    <xf numFmtId="0" fontId="0" fillId="0" borderId="0" xfId="0" applyAlignment="1">
      <alignment horizontal="left" indent="1"/>
    </xf>
    <xf numFmtId="0" fontId="0" fillId="0" borderId="42" xfId="0" applyBorder="1" applyAlignment="1">
      <alignment horizontal="left"/>
    </xf>
    <xf numFmtId="1" fontId="0" fillId="0" borderId="0" xfId="0" applyNumberFormat="1"/>
    <xf numFmtId="1" fontId="0" fillId="0" borderId="42" xfId="0" applyNumberFormat="1" applyBorder="1"/>
    <xf numFmtId="0" fontId="0" fillId="0" borderId="42" xfId="0" applyBorder="1" applyAlignment="1">
      <alignment horizontal="left" indent="1"/>
    </xf>
    <xf numFmtId="0" fontId="0" fillId="0" borderId="0" xfId="0" applyAlignment="1">
      <alignment horizontal="left" indent="2"/>
    </xf>
    <xf numFmtId="0" fontId="0" fillId="0" borderId="0" xfId="0" applyAlignment="1">
      <alignment horizontal="left"/>
    </xf>
    <xf numFmtId="0" fontId="0" fillId="0" borderId="42" xfId="0" applyBorder="1"/>
    <xf numFmtId="0" fontId="14" fillId="7" borderId="1" xfId="0" applyFont="1" applyFill="1" applyBorder="1" applyAlignment="1">
      <alignment horizontal="left" vertical="center" wrapText="1"/>
    </xf>
    <xf numFmtId="0" fontId="2" fillId="7" borderId="1" xfId="0" applyFont="1" applyFill="1" applyBorder="1" applyAlignment="1">
      <alignment horizontal="left" vertical="center" wrapText="1"/>
    </xf>
    <xf numFmtId="0" fontId="15" fillId="7" borderId="1" xfId="0" applyFont="1" applyFill="1" applyBorder="1" applyAlignment="1">
      <alignment horizontal="left" vertical="center" wrapText="1"/>
    </xf>
    <xf numFmtId="0" fontId="14" fillId="7" borderId="1" xfId="0" applyFont="1" applyFill="1" applyBorder="1" applyAlignment="1">
      <alignment vertical="center" wrapText="1"/>
    </xf>
    <xf numFmtId="0" fontId="4" fillId="2" borderId="1" xfId="0" applyFont="1" applyFill="1" applyBorder="1" applyAlignment="1">
      <alignment horizontal="center" vertical="center" wrapText="1"/>
    </xf>
    <xf numFmtId="0" fontId="1" fillId="8" borderId="28" xfId="0" applyFont="1" applyFill="1" applyBorder="1" applyAlignment="1">
      <alignment vertical="center"/>
    </xf>
    <xf numFmtId="0" fontId="1" fillId="8" borderId="29" xfId="0" applyFont="1" applyFill="1" applyBorder="1" applyAlignment="1">
      <alignment vertical="center"/>
    </xf>
    <xf numFmtId="1" fontId="0" fillId="2" borderId="0" xfId="0" applyNumberFormat="1" applyFill="1" applyAlignment="1">
      <alignment horizontal="left"/>
    </xf>
    <xf numFmtId="0" fontId="0" fillId="0" borderId="0" xfId="0" applyAlignment="1">
      <alignment wrapText="1"/>
    </xf>
    <xf numFmtId="0" fontId="0" fillId="0" borderId="0" xfId="0" applyAlignment="1">
      <alignment horizontal="left" vertical="center"/>
    </xf>
    <xf numFmtId="0" fontId="0" fillId="0" borderId="0" xfId="0" applyAlignment="1">
      <alignment vertical="center"/>
    </xf>
    <xf numFmtId="0" fontId="4" fillId="0" borderId="1" xfId="0" applyFont="1" applyBorder="1" applyAlignment="1">
      <alignment vertical="center"/>
    </xf>
    <xf numFmtId="0" fontId="4" fillId="0" borderId="1" xfId="0" applyFont="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left" vertical="center" wrapText="1"/>
    </xf>
    <xf numFmtId="0" fontId="4" fillId="0" borderId="1" xfId="0" applyFont="1" applyBorder="1" applyAlignment="1">
      <alignment horizontal="center" vertical="center"/>
    </xf>
    <xf numFmtId="0" fontId="0" fillId="0" borderId="1" xfId="0" applyBorder="1" applyAlignment="1">
      <alignment horizontal="left" vertical="center"/>
    </xf>
    <xf numFmtId="0" fontId="0" fillId="0" borderId="1" xfId="0" applyBorder="1" applyAlignment="1">
      <alignment vertical="center" wrapText="1"/>
    </xf>
    <xf numFmtId="0" fontId="4" fillId="0" borderId="0" xfId="0" applyFont="1"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wrapText="1"/>
    </xf>
    <xf numFmtId="0" fontId="0" fillId="0" borderId="0" xfId="0" applyAlignment="1">
      <alignment vertical="center" wrapText="1"/>
    </xf>
    <xf numFmtId="0" fontId="7" fillId="12" borderId="2" xfId="0" applyFont="1" applyFill="1" applyBorder="1" applyAlignment="1">
      <alignment horizontal="center" vertical="center" wrapText="1"/>
    </xf>
    <xf numFmtId="0" fontId="7" fillId="14" borderId="2" xfId="0" applyFont="1" applyFill="1" applyBorder="1" applyAlignment="1">
      <alignment horizontal="center" vertical="center" wrapText="1"/>
    </xf>
    <xf numFmtId="0" fontId="7" fillId="14" borderId="1" xfId="0" applyFont="1" applyFill="1" applyBorder="1" applyAlignment="1">
      <alignment horizontal="center" vertical="center" wrapText="1"/>
    </xf>
    <xf numFmtId="0" fontId="9" fillId="13" borderId="2" xfId="0" applyFont="1" applyFill="1" applyBorder="1" applyAlignment="1">
      <alignment horizontal="center" vertical="center"/>
    </xf>
    <xf numFmtId="0" fontId="7" fillId="13" borderId="2" xfId="0" applyFont="1" applyFill="1" applyBorder="1" applyAlignment="1">
      <alignment horizontal="center" vertical="center" wrapText="1"/>
    </xf>
    <xf numFmtId="0" fontId="9" fillId="10" borderId="2" xfId="0" applyFont="1" applyFill="1" applyBorder="1" applyAlignment="1">
      <alignment horizontal="center" vertical="center"/>
    </xf>
    <xf numFmtId="0" fontId="7" fillId="10" borderId="2" xfId="0" applyFont="1" applyFill="1" applyBorder="1" applyAlignment="1">
      <alignment horizontal="center" vertical="center" wrapText="1"/>
    </xf>
    <xf numFmtId="0" fontId="9" fillId="9" borderId="2" xfId="0" applyFont="1" applyFill="1" applyBorder="1" applyAlignment="1">
      <alignment horizontal="center" vertical="center"/>
    </xf>
    <xf numFmtId="0" fontId="7" fillId="9" borderId="2" xfId="0" applyFont="1" applyFill="1" applyBorder="1" applyAlignment="1">
      <alignment horizontal="center" vertical="center" wrapText="1"/>
    </xf>
    <xf numFmtId="0" fontId="9" fillId="9" borderId="3" xfId="0" applyFont="1" applyFill="1" applyBorder="1" applyAlignment="1">
      <alignment horizontal="center" vertical="center"/>
    </xf>
    <xf numFmtId="0" fontId="7" fillId="9" borderId="1" xfId="0" applyFont="1" applyFill="1" applyBorder="1" applyAlignment="1">
      <alignment horizontal="center" vertical="center" wrapText="1"/>
    </xf>
    <xf numFmtId="0" fontId="9" fillId="13" borderId="3" xfId="0" applyFont="1" applyFill="1" applyBorder="1" applyAlignment="1">
      <alignment horizontal="center" vertical="center"/>
    </xf>
    <xf numFmtId="0" fontId="9" fillId="15" borderId="2" xfId="0" applyFont="1" applyFill="1" applyBorder="1" applyAlignment="1">
      <alignment horizontal="center" vertical="center"/>
    </xf>
    <xf numFmtId="0" fontId="7" fillId="15" borderId="2" xfId="0" applyFont="1" applyFill="1" applyBorder="1" applyAlignment="1">
      <alignment horizontal="center" vertical="center" wrapText="1"/>
    </xf>
    <xf numFmtId="0" fontId="9" fillId="15" borderId="3" xfId="0" applyFont="1" applyFill="1" applyBorder="1" applyAlignment="1">
      <alignment horizontal="center" vertical="center"/>
    </xf>
    <xf numFmtId="0" fontId="9" fillId="16" borderId="2" xfId="0" applyFont="1" applyFill="1" applyBorder="1" applyAlignment="1">
      <alignment horizontal="center" vertical="center"/>
    </xf>
    <xf numFmtId="0" fontId="7" fillId="16" borderId="2" xfId="0" applyFont="1" applyFill="1" applyBorder="1" applyAlignment="1">
      <alignment horizontal="center" vertical="center" wrapText="1"/>
    </xf>
    <xf numFmtId="0" fontId="5" fillId="16" borderId="3" xfId="0" applyFont="1" applyFill="1" applyBorder="1" applyAlignment="1">
      <alignment horizontal="center" vertical="center"/>
    </xf>
    <xf numFmtId="0" fontId="7" fillId="16" borderId="1" xfId="0" applyFont="1" applyFill="1" applyBorder="1" applyAlignment="1">
      <alignment horizontal="center" vertical="center" wrapText="1"/>
    </xf>
    <xf numFmtId="0" fontId="27" fillId="3" borderId="1" xfId="0" applyFont="1" applyFill="1" applyBorder="1" applyAlignment="1">
      <alignment horizontal="center" vertical="center"/>
    </xf>
    <xf numFmtId="0" fontId="27" fillId="3" borderId="1" xfId="0" applyFont="1" applyFill="1" applyBorder="1" applyAlignment="1">
      <alignment horizontal="center" vertical="center" wrapText="1"/>
    </xf>
    <xf numFmtId="0" fontId="27" fillId="3" borderId="1" xfId="0" applyFont="1" applyFill="1" applyBorder="1" applyAlignment="1">
      <alignment vertical="center" wrapText="1"/>
    </xf>
    <xf numFmtId="0" fontId="27" fillId="3" borderId="1" xfId="0" applyFont="1" applyFill="1" applyBorder="1" applyAlignment="1">
      <alignment horizontal="left" vertical="center" wrapText="1"/>
    </xf>
    <xf numFmtId="0" fontId="11" fillId="3" borderId="0" xfId="0" applyFont="1" applyFill="1"/>
    <xf numFmtId="0" fontId="11" fillId="3" borderId="0" xfId="0" applyFont="1" applyFill="1" applyAlignment="1">
      <alignment horizontal="center" vertical="center"/>
    </xf>
    <xf numFmtId="0" fontId="0" fillId="11" borderId="1" xfId="0" applyFill="1" applyBorder="1" applyAlignment="1">
      <alignment horizontal="center" vertical="center"/>
    </xf>
    <xf numFmtId="0" fontId="4" fillId="11" borderId="1" xfId="0" applyFont="1" applyFill="1" applyBorder="1" applyAlignment="1">
      <alignment vertical="center" wrapText="1"/>
    </xf>
    <xf numFmtId="0" fontId="0" fillId="11" borderId="0" xfId="0" applyFill="1" applyAlignment="1">
      <alignment horizontal="left" vertical="center"/>
    </xf>
    <xf numFmtId="0" fontId="0" fillId="11" borderId="0" xfId="0" applyFill="1" applyAlignment="1">
      <alignment vertical="center" wrapText="1"/>
    </xf>
    <xf numFmtId="0" fontId="4" fillId="11" borderId="1" xfId="0" applyFont="1" applyFill="1" applyBorder="1" applyAlignment="1">
      <alignment horizontal="center" vertical="center" wrapText="1"/>
    </xf>
    <xf numFmtId="0" fontId="0" fillId="11" borderId="0" xfId="0" applyFill="1" applyAlignment="1">
      <alignment vertical="center"/>
    </xf>
    <xf numFmtId="0" fontId="0" fillId="11" borderId="1" xfId="0" applyFill="1" applyBorder="1" applyAlignment="1">
      <alignment horizontal="left" vertical="center" wrapText="1"/>
    </xf>
    <xf numFmtId="0" fontId="0" fillId="11" borderId="1" xfId="0" applyFill="1" applyBorder="1" applyAlignment="1">
      <alignment horizontal="center" vertical="center" wrapText="1"/>
    </xf>
    <xf numFmtId="0" fontId="4" fillId="11" borderId="1" xfId="0" applyFont="1" applyFill="1" applyBorder="1" applyAlignment="1">
      <alignment horizontal="center" vertical="center"/>
    </xf>
    <xf numFmtId="0" fontId="0" fillId="11" borderId="1" xfId="0" applyFill="1" applyBorder="1" applyAlignment="1">
      <alignment horizontal="left" vertical="center"/>
    </xf>
    <xf numFmtId="0" fontId="0" fillId="11" borderId="1" xfId="0" applyFill="1" applyBorder="1" applyAlignment="1">
      <alignment vertical="center"/>
    </xf>
    <xf numFmtId="0" fontId="0" fillId="11" borderId="1" xfId="0" applyFill="1" applyBorder="1" applyAlignment="1">
      <alignment vertical="center" wrapText="1"/>
    </xf>
    <xf numFmtId="0" fontId="0" fillId="11" borderId="1" xfId="0" applyFill="1" applyBorder="1" applyAlignment="1">
      <alignment horizontal="left" vertical="top" wrapText="1"/>
    </xf>
    <xf numFmtId="0" fontId="4" fillId="11" borderId="1" xfId="0" applyFont="1" applyFill="1" applyBorder="1" applyAlignment="1">
      <alignment vertical="center"/>
    </xf>
    <xf numFmtId="0" fontId="0" fillId="9" borderId="1" xfId="0" applyFill="1" applyBorder="1" applyAlignment="1">
      <alignment horizontal="center" vertical="center"/>
    </xf>
    <xf numFmtId="0" fontId="4" fillId="9" borderId="1" xfId="0" applyFont="1" applyFill="1" applyBorder="1" applyAlignment="1">
      <alignment vertical="center" wrapText="1"/>
    </xf>
    <xf numFmtId="0" fontId="0" fillId="9" borderId="1" xfId="0" applyFill="1" applyBorder="1" applyAlignment="1">
      <alignment horizontal="center" vertical="center" wrapText="1"/>
    </xf>
    <xf numFmtId="0" fontId="0" fillId="9" borderId="1" xfId="0" applyFill="1" applyBorder="1" applyAlignment="1">
      <alignment horizontal="left" vertical="center" wrapText="1"/>
    </xf>
    <xf numFmtId="0" fontId="10" fillId="3" borderId="1" xfId="0" applyFont="1" applyFill="1" applyBorder="1" applyAlignment="1">
      <alignment horizontal="center" vertical="center"/>
    </xf>
    <xf numFmtId="0" fontId="10" fillId="3" borderId="15" xfId="0" applyFont="1" applyFill="1" applyBorder="1" applyAlignment="1">
      <alignment horizontal="center" vertical="center"/>
    </xf>
    <xf numFmtId="0" fontId="10" fillId="3" borderId="6" xfId="0" applyFont="1" applyFill="1" applyBorder="1" applyAlignment="1">
      <alignment horizontal="center" vertical="center"/>
    </xf>
    <xf numFmtId="0" fontId="9" fillId="14" borderId="2" xfId="0" applyFont="1" applyFill="1" applyBorder="1" applyAlignment="1">
      <alignment horizontal="center" vertical="center" wrapText="1"/>
    </xf>
    <xf numFmtId="0" fontId="9" fillId="14" borderId="3" xfId="0" applyFont="1" applyFill="1" applyBorder="1" applyAlignment="1">
      <alignment horizontal="center" vertical="center" wrapText="1"/>
    </xf>
    <xf numFmtId="0" fontId="9" fillId="14" borderId="4" xfId="0" applyFont="1" applyFill="1" applyBorder="1" applyAlignment="1">
      <alignment horizontal="center" vertical="center" wrapText="1"/>
    </xf>
    <xf numFmtId="0" fontId="9" fillId="12" borderId="2" xfId="0" applyFont="1" applyFill="1" applyBorder="1" applyAlignment="1">
      <alignment horizontal="center" vertical="center" wrapText="1"/>
    </xf>
    <xf numFmtId="0" fontId="9" fillId="12" borderId="3" xfId="0" applyFont="1" applyFill="1" applyBorder="1" applyAlignment="1">
      <alignment horizontal="center" vertical="center" wrapText="1"/>
    </xf>
    <xf numFmtId="0" fontId="9" fillId="12" borderId="4" xfId="0" applyFont="1" applyFill="1" applyBorder="1" applyAlignment="1">
      <alignment horizontal="center" vertical="center" wrapText="1"/>
    </xf>
    <xf numFmtId="0" fontId="1" fillId="8" borderId="26" xfId="0" applyFont="1" applyFill="1" applyBorder="1" applyAlignment="1">
      <alignment horizontal="center" vertical="center"/>
    </xf>
    <xf numFmtId="0" fontId="1" fillId="8" borderId="27" xfId="0" applyFont="1" applyFill="1" applyBorder="1" applyAlignment="1">
      <alignment horizontal="center" vertical="center"/>
    </xf>
    <xf numFmtId="0" fontId="1" fillId="8" borderId="28" xfId="0" applyFont="1" applyFill="1" applyBorder="1" applyAlignment="1">
      <alignment horizontal="center" vertical="center"/>
    </xf>
    <xf numFmtId="0" fontId="1" fillId="8" borderId="29" xfId="0" applyFont="1" applyFill="1" applyBorder="1" applyAlignment="1">
      <alignment horizontal="center" vertical="center"/>
    </xf>
    <xf numFmtId="0" fontId="29" fillId="17" borderId="7" xfId="0" applyFont="1" applyFill="1" applyBorder="1" applyAlignment="1" applyProtection="1">
      <alignment horizontal="center" vertical="center" wrapText="1"/>
    </xf>
    <xf numFmtId="0" fontId="29" fillId="17" borderId="8" xfId="0" applyFont="1" applyFill="1" applyBorder="1" applyAlignment="1" applyProtection="1">
      <alignment horizontal="center" vertical="center" wrapText="1"/>
    </xf>
    <xf numFmtId="0" fontId="29" fillId="17" borderId="8" xfId="0" applyFont="1" applyFill="1" applyBorder="1" applyAlignment="1" applyProtection="1">
      <alignment horizontal="center" vertical="center"/>
    </xf>
    <xf numFmtId="0" fontId="29" fillId="17" borderId="1" xfId="0" applyFont="1" applyFill="1" applyBorder="1" applyAlignment="1" applyProtection="1">
      <alignment horizontal="center" vertical="center" wrapText="1"/>
    </xf>
    <xf numFmtId="0" fontId="29" fillId="17" borderId="8" xfId="0" applyFont="1" applyFill="1" applyBorder="1" applyAlignment="1" applyProtection="1">
      <alignment horizontal="center" vertical="center" wrapText="1"/>
    </xf>
    <xf numFmtId="0" fontId="29" fillId="17" borderId="9" xfId="0"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29" fillId="2" borderId="0" xfId="0" applyFont="1" applyFill="1" applyAlignment="1" applyProtection="1">
      <alignment horizontal="center" vertical="center"/>
    </xf>
    <xf numFmtId="0" fontId="29" fillId="17" borderId="10" xfId="0" applyFont="1" applyFill="1" applyBorder="1" applyAlignment="1" applyProtection="1">
      <alignment horizontal="center" vertical="center" wrapText="1"/>
    </xf>
    <xf numFmtId="0" fontId="21" fillId="18" borderId="1" xfId="0" applyFont="1" applyFill="1" applyBorder="1" applyAlignment="1" applyProtection="1">
      <alignment horizontal="center" vertical="center" wrapText="1"/>
    </xf>
    <xf numFmtId="0" fontId="23" fillId="18" borderId="1" xfId="0" applyFont="1" applyFill="1" applyBorder="1" applyAlignment="1" applyProtection="1">
      <alignment horizontal="center" vertical="center"/>
    </xf>
    <xf numFmtId="0" fontId="23" fillId="19" borderId="1" xfId="0" applyFont="1" applyFill="1" applyBorder="1" applyAlignment="1" applyProtection="1">
      <alignment horizontal="center" vertical="center"/>
    </xf>
    <xf numFmtId="0" fontId="30" fillId="18" borderId="11" xfId="0" applyFont="1" applyFill="1" applyBorder="1" applyAlignment="1" applyProtection="1">
      <alignment horizontal="justify" vertical="center" wrapText="1"/>
    </xf>
    <xf numFmtId="0" fontId="30" fillId="0" borderId="0" xfId="0" applyFont="1" applyFill="1" applyBorder="1" applyAlignment="1" applyProtection="1">
      <alignment vertical="center" wrapText="1"/>
    </xf>
    <xf numFmtId="0" fontId="23" fillId="18" borderId="1" xfId="0" applyFont="1" applyFill="1" applyBorder="1" applyAlignment="1" applyProtection="1">
      <alignment horizontal="center" vertical="center" wrapText="1"/>
    </xf>
    <xf numFmtId="0" fontId="23" fillId="19" borderId="1" xfId="0" applyFont="1" applyFill="1" applyBorder="1" applyAlignment="1" applyProtection="1">
      <alignment horizontal="center" vertical="center" wrapText="1"/>
    </xf>
    <xf numFmtId="0" fontId="21" fillId="18" borderId="11" xfId="0" applyFont="1" applyFill="1" applyBorder="1" applyAlignment="1" applyProtection="1">
      <alignment horizontal="justify" vertical="center" wrapText="1"/>
    </xf>
    <xf numFmtId="0" fontId="21" fillId="2" borderId="0" xfId="0" applyFont="1" applyFill="1" applyProtection="1"/>
    <xf numFmtId="0" fontId="21" fillId="0" borderId="0" xfId="0" applyFont="1" applyFill="1" applyBorder="1" applyAlignment="1" applyProtection="1">
      <alignment horizontal="left" vertical="center" wrapText="1"/>
    </xf>
    <xf numFmtId="0" fontId="21" fillId="18" borderId="11" xfId="0" applyFont="1" applyFill="1" applyBorder="1" applyAlignment="1" applyProtection="1">
      <alignment horizontal="center" vertical="center" wrapText="1"/>
    </xf>
    <xf numFmtId="9" fontId="21" fillId="2" borderId="0" xfId="1" applyFont="1" applyFill="1" applyProtection="1"/>
    <xf numFmtId="0" fontId="21" fillId="0" borderId="0" xfId="0" applyFont="1" applyFill="1" applyBorder="1" applyAlignment="1" applyProtection="1">
      <alignment vertical="center" wrapText="1"/>
    </xf>
    <xf numFmtId="0" fontId="30" fillId="18" borderId="11" xfId="0" applyFont="1" applyFill="1" applyBorder="1" applyAlignment="1" applyProtection="1">
      <alignment horizontal="center" vertical="center" wrapText="1"/>
    </xf>
    <xf numFmtId="0" fontId="30" fillId="0" borderId="0" xfId="0" applyFont="1" applyFill="1" applyBorder="1" applyAlignment="1" applyProtection="1">
      <alignment horizontal="center" vertical="center" wrapText="1"/>
    </xf>
    <xf numFmtId="0" fontId="21" fillId="0" borderId="0" xfId="0" applyFont="1" applyFill="1" applyBorder="1" applyAlignment="1" applyProtection="1">
      <alignment horizontal="center" vertical="center"/>
    </xf>
    <xf numFmtId="0" fontId="29" fillId="17" borderId="10" xfId="0" applyFont="1" applyFill="1" applyBorder="1" applyAlignment="1" applyProtection="1">
      <alignment horizontal="center" vertical="center"/>
    </xf>
    <xf numFmtId="0" fontId="30" fillId="18" borderId="1" xfId="0" applyFont="1" applyFill="1" applyBorder="1" applyAlignment="1" applyProtection="1">
      <alignment horizontal="center" vertical="center" wrapText="1"/>
    </xf>
    <xf numFmtId="0" fontId="21" fillId="0" borderId="0" xfId="0" applyFont="1" applyFill="1" applyBorder="1" applyAlignment="1" applyProtection="1">
      <alignment vertical="center"/>
    </xf>
    <xf numFmtId="0" fontId="30" fillId="0" borderId="0" xfId="0" applyFont="1" applyFill="1" applyBorder="1" applyAlignment="1" applyProtection="1">
      <alignment horizontal="center" vertical="center"/>
    </xf>
    <xf numFmtId="0" fontId="21" fillId="0" borderId="0" xfId="0" applyFont="1" applyFill="1" applyBorder="1" applyAlignment="1" applyProtection="1">
      <alignment horizontal="left" vertical="center"/>
    </xf>
    <xf numFmtId="0" fontId="29" fillId="17" borderId="12" xfId="0" applyFont="1" applyFill="1" applyBorder="1" applyAlignment="1" applyProtection="1">
      <alignment horizontal="center" vertical="center" wrapText="1"/>
    </xf>
    <xf numFmtId="0" fontId="29" fillId="17" borderId="13" xfId="0" applyFont="1" applyFill="1" applyBorder="1" applyAlignment="1" applyProtection="1">
      <alignment horizontal="center" vertical="center" wrapText="1"/>
    </xf>
    <xf numFmtId="0" fontId="21" fillId="18" borderId="13" xfId="0" applyFont="1" applyFill="1" applyBorder="1" applyAlignment="1" applyProtection="1">
      <alignment horizontal="center" vertical="center" wrapText="1"/>
    </xf>
    <xf numFmtId="0" fontId="23" fillId="18" borderId="13" xfId="0" applyFont="1" applyFill="1" applyBorder="1" applyAlignment="1" applyProtection="1">
      <alignment horizontal="center" vertical="center"/>
    </xf>
    <xf numFmtId="0" fontId="23" fillId="19" borderId="13" xfId="0" applyFont="1" applyFill="1" applyBorder="1" applyAlignment="1" applyProtection="1">
      <alignment horizontal="center" vertical="center"/>
    </xf>
    <xf numFmtId="0" fontId="30" fillId="18" borderId="14" xfId="0" applyFont="1" applyFill="1" applyBorder="1" applyAlignment="1" applyProtection="1">
      <alignment horizontal="center" vertical="center" wrapText="1"/>
    </xf>
    <xf numFmtId="0" fontId="29" fillId="17" borderId="12" xfId="0" applyFont="1" applyFill="1" applyBorder="1" applyAlignment="1" applyProtection="1">
      <alignment horizontal="center" vertical="center"/>
    </xf>
    <xf numFmtId="0" fontId="21" fillId="18" borderId="14" xfId="0" applyFont="1" applyFill="1" applyBorder="1" applyAlignment="1" applyProtection="1">
      <alignment horizontal="center" vertical="center" wrapText="1"/>
    </xf>
    <xf numFmtId="0" fontId="29" fillId="2" borderId="0" xfId="0" applyFont="1" applyFill="1" applyBorder="1" applyAlignment="1" applyProtection="1">
      <alignment horizontal="center" vertical="center" wrapText="1"/>
    </xf>
    <xf numFmtId="0" fontId="21" fillId="2" borderId="0" xfId="0" applyFont="1" applyFill="1" applyBorder="1" applyAlignment="1" applyProtection="1">
      <alignment horizontal="center" vertical="center" wrapText="1"/>
    </xf>
    <xf numFmtId="0" fontId="23" fillId="2" borderId="0" xfId="0" applyFont="1" applyFill="1" applyBorder="1" applyAlignment="1" applyProtection="1">
      <alignment horizontal="center" vertical="center" wrapText="1"/>
    </xf>
    <xf numFmtId="0" fontId="21" fillId="2" borderId="0" xfId="0" applyFont="1" applyFill="1" applyBorder="1" applyAlignment="1" applyProtection="1">
      <alignment horizontal="center" vertical="center"/>
    </xf>
    <xf numFmtId="0" fontId="30" fillId="2" borderId="0" xfId="0" applyFont="1" applyFill="1" applyBorder="1" applyAlignment="1" applyProtection="1">
      <alignment horizontal="center" vertical="center" wrapText="1"/>
    </xf>
    <xf numFmtId="0" fontId="30" fillId="2" borderId="0" xfId="0" applyFont="1" applyFill="1" applyBorder="1" applyAlignment="1" applyProtection="1">
      <alignment horizontal="center" vertical="center"/>
    </xf>
    <xf numFmtId="0" fontId="29" fillId="2" borderId="0" xfId="0" applyFont="1" applyFill="1" applyBorder="1" applyAlignment="1" applyProtection="1">
      <alignment horizontal="center" vertical="center"/>
    </xf>
    <xf numFmtId="0" fontId="21" fillId="2" borderId="0" xfId="0" applyFont="1" applyFill="1" applyBorder="1" applyProtection="1"/>
    <xf numFmtId="0" fontId="29" fillId="17" borderId="7" xfId="0" applyFont="1" applyFill="1" applyBorder="1" applyAlignment="1" applyProtection="1">
      <alignment horizontal="center" vertical="center"/>
    </xf>
    <xf numFmtId="0" fontId="29" fillId="17" borderId="8" xfId="0" applyFont="1" applyFill="1" applyBorder="1" applyAlignment="1" applyProtection="1">
      <alignment horizontal="center" vertical="center"/>
    </xf>
    <xf numFmtId="0" fontId="29" fillId="0" borderId="0" xfId="0" applyFont="1" applyFill="1" applyBorder="1" applyAlignment="1" applyProtection="1">
      <alignment vertical="center" wrapText="1"/>
    </xf>
    <xf numFmtId="0" fontId="29" fillId="2" borderId="0" xfId="0" applyFont="1" applyFill="1" applyProtection="1"/>
    <xf numFmtId="0" fontId="30" fillId="0" borderId="0" xfId="0" applyFont="1" applyFill="1" applyBorder="1" applyAlignment="1" applyProtection="1">
      <alignment vertical="center"/>
    </xf>
    <xf numFmtId="0" fontId="21" fillId="0" borderId="0" xfId="0" applyFont="1" applyFill="1" applyBorder="1" applyAlignment="1" applyProtection="1">
      <alignment horizontal="left" vertical="top" wrapText="1"/>
    </xf>
    <xf numFmtId="0" fontId="23" fillId="19" borderId="13" xfId="0" applyFont="1" applyFill="1" applyBorder="1" applyAlignment="1" applyProtection="1">
      <alignment horizontal="center" vertical="center" wrapText="1"/>
    </xf>
    <xf numFmtId="0" fontId="30" fillId="18" borderId="14" xfId="0" applyFont="1" applyFill="1" applyBorder="1" applyAlignment="1" applyProtection="1">
      <alignment horizontal="justify" vertical="center" wrapText="1"/>
    </xf>
    <xf numFmtId="0" fontId="21" fillId="18" borderId="14" xfId="0" applyFont="1" applyFill="1" applyBorder="1" applyAlignment="1" applyProtection="1">
      <alignment horizontal="justify" vertical="center" wrapText="1"/>
    </xf>
    <xf numFmtId="0" fontId="31" fillId="2" borderId="3" xfId="0" applyFont="1" applyFill="1" applyBorder="1" applyAlignment="1" applyProtection="1">
      <alignment horizontal="center" vertical="center" wrapText="1"/>
    </xf>
    <xf numFmtId="0" fontId="23" fillId="2" borderId="0" xfId="0" applyFont="1" applyFill="1" applyAlignment="1" applyProtection="1">
      <alignment horizontal="center" vertical="center"/>
    </xf>
    <xf numFmtId="0" fontId="21" fillId="2" borderId="0" xfId="0" applyFont="1" applyFill="1" applyAlignment="1" applyProtection="1">
      <alignment horizontal="center" vertical="center"/>
    </xf>
    <xf numFmtId="0" fontId="30" fillId="0" borderId="0" xfId="0" applyFont="1" applyAlignment="1" applyProtection="1">
      <alignment horizontal="justify" vertical="center" wrapText="1"/>
    </xf>
    <xf numFmtId="0" fontId="31" fillId="2" borderId="0" xfId="0" applyFont="1" applyFill="1" applyAlignment="1" applyProtection="1">
      <alignment horizontal="center" vertical="center"/>
    </xf>
    <xf numFmtId="0" fontId="21" fillId="0" borderId="0" xfId="0" applyFont="1" applyAlignment="1" applyProtection="1">
      <alignment horizontal="justify" vertical="center" wrapText="1"/>
    </xf>
  </cellXfs>
  <cellStyles count="2">
    <cellStyle name="Normal" xfId="0" builtinId="0"/>
    <cellStyle name="Porcentaje" xfId="1" builtinId="5"/>
  </cellStyles>
  <dxfs count="347">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left style="thin">
          <color theme="4" tint="0.39997558519241921"/>
        </left>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numFmt numFmtId="1" formatCode="0"/>
    </dxf>
    <dxf>
      <numFmt numFmtId="1" formatCode="0"/>
    </dxf>
    <dxf>
      <numFmt numFmtId="1" formatCode="0"/>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border>
        <right style="thin">
          <color theme="4" tint="0.39997558519241921"/>
        </right>
        <top style="thin">
          <color theme="4" tint="0.39997558519241921"/>
        </top>
        <bottom style="thin">
          <color theme="4" tint="0.39997558519241921"/>
        </bottom>
        <vertical style="thin">
          <color theme="4" tint="0.39997558519241921"/>
        </vertical>
        <horizontal style="thin">
          <color theme="4" tint="0.39997558519241921"/>
        </horizontal>
      </border>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
      <numFmt numFmtId="1" formatCode="0"/>
    </dxf>
    <dxf>
      <numFmt numFmtId="1" formatCode="0"/>
    </dxf>
    <dxf>
      <numFmt numFmtId="1" formatCode="0"/>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s>
  <tableStyles count="0" defaultTableStyle="TableStyleMedium2" defaultPivotStyle="PivotStyleLight16"/>
  <colors>
    <mruColors>
      <color rgb="FF00482B"/>
      <color rgb="FF91C260"/>
      <color rgb="FF91B860"/>
      <color rgb="FF91B85D"/>
      <color rgb="FF0F3D38"/>
      <color rgb="FFCCFFCA"/>
      <color rgb="FFF75447"/>
      <color rgb="FFD5CA3D"/>
      <color rgb="FFEDE395"/>
      <color rgb="FFCAD5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pivotCacheDefinition" Target="pivotCache/pivotCacheDefinition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pivotCacheDefinition" Target="pivotCache/pivotCacheDefinition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pivotCacheDefinition" Target="pivotCache/pivotCacheDefinition6.xml"/><Relationship Id="rId10" Type="http://schemas.openxmlformats.org/officeDocument/2006/relationships/worksheet" Target="worksheets/sheet10.xml"/><Relationship Id="rId19"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5.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1050"/>
            </a:pPr>
            <a:r>
              <a:rPr lang="es-MX" sz="1050"/>
              <a:t>DEBILIDADES</a:t>
            </a:r>
          </a:p>
        </c:rich>
      </c:tx>
      <c:layout>
        <c:manualLayout>
          <c:xMode val="edge"/>
          <c:yMode val="edge"/>
          <c:x val="0.44665537959061097"/>
          <c:y val="2.9010984325184962E-2"/>
        </c:manualLayout>
      </c:layout>
      <c:overlay val="0"/>
      <c:spPr>
        <a:noFill/>
        <a:ln>
          <a:noFill/>
        </a:ln>
        <a:effectLst/>
      </c:spPr>
    </c:title>
    <c:autoTitleDeleted val="0"/>
    <c:plotArea>
      <c:layout/>
      <c:barChart>
        <c:barDir val="col"/>
        <c:grouping val="clustered"/>
        <c:varyColors val="0"/>
        <c:ser>
          <c:idx val="0"/>
          <c:order val="0"/>
          <c:tx>
            <c:strRef>
              <c:f>'T.D. DEBLD'!$G$3</c:f>
              <c:strCache>
                <c:ptCount val="1"/>
                <c:pt idx="0">
                  <c:v>ABSOLUTO</c:v>
                </c:pt>
              </c:strCache>
            </c:strRef>
          </c:tx>
          <c:spPr>
            <a:solidFill>
              <a:srgbClr val="D5CA3D"/>
            </a:solidFill>
            <a:ln>
              <a:solidFill>
                <a:srgbClr val="0F3D38"/>
              </a:solidFill>
            </a:ln>
            <a:effectLst/>
          </c:spPr>
          <c:invertIfNegative val="0"/>
          <c:dPt>
            <c:idx val="8"/>
            <c:invertIfNegative val="0"/>
            <c:bubble3D val="0"/>
            <c:spPr>
              <a:noFill/>
              <a:ln>
                <a:noFill/>
              </a:ln>
              <a:effectLst/>
            </c:spPr>
            <c:extLst>
              <c:ext xmlns:c16="http://schemas.microsoft.com/office/drawing/2014/chart" uri="{C3380CC4-5D6E-409C-BE32-E72D297353CC}">
                <c16:uniqueId val="{00000003-9671-456A-B311-F9D621D4ED06}"/>
              </c:ext>
            </c:extLst>
          </c:dPt>
          <c:cat>
            <c:strRef>
              <c:f>'T.D. DEBLD'!$F$4:$F$11</c:f>
              <c:strCache>
                <c:ptCount val="8"/>
                <c:pt idx="0">
                  <c:v>2022</c:v>
                </c:pt>
                <c:pt idx="1">
                  <c:v>MEDIO AMBIENTE</c:v>
                </c:pt>
                <c:pt idx="2">
                  <c:v>PLANIFICACION </c:v>
                </c:pt>
                <c:pt idx="3">
                  <c:v>PRESUPUESTO</c:v>
                </c:pt>
                <c:pt idx="4">
                  <c:v>Total general</c:v>
                </c:pt>
                <c:pt idx="5">
                  <c:v>0</c:v>
                </c:pt>
                <c:pt idx="6">
                  <c:v>0</c:v>
                </c:pt>
                <c:pt idx="7">
                  <c:v>0</c:v>
                </c:pt>
              </c:strCache>
            </c:strRef>
          </c:cat>
          <c:val>
            <c:numRef>
              <c:f>'T.D. DEBLD'!$G$4:$G$12</c:f>
              <c:numCache>
                <c:formatCode>General</c:formatCode>
                <c:ptCount val="9"/>
                <c:pt idx="0">
                  <c:v>113</c:v>
                </c:pt>
                <c:pt idx="1">
                  <c:v>75</c:v>
                </c:pt>
                <c:pt idx="2">
                  <c:v>59</c:v>
                </c:pt>
                <c:pt idx="3">
                  <c:v>39</c:v>
                </c:pt>
                <c:pt idx="4">
                  <c:v>23</c:v>
                </c:pt>
                <c:pt idx="5">
                  <c:v>17</c:v>
                </c:pt>
                <c:pt idx="6">
                  <c:v>4</c:v>
                </c:pt>
                <c:pt idx="7">
                  <c:v>2</c:v>
                </c:pt>
                <c:pt idx="8">
                  <c:v>332</c:v>
                </c:pt>
              </c:numCache>
            </c:numRef>
          </c:val>
          <c:extLst>
            <c:ext xmlns:c16="http://schemas.microsoft.com/office/drawing/2014/chart" uri="{C3380CC4-5D6E-409C-BE32-E72D297353CC}">
              <c16:uniqueId val="{00000000-F229-4A70-A658-7722A0A577E8}"/>
            </c:ext>
          </c:extLst>
        </c:ser>
        <c:ser>
          <c:idx val="1"/>
          <c:order val="1"/>
          <c:tx>
            <c:strRef>
              <c:f>'T.D. DEBLD'!$H$3</c:f>
              <c:strCache>
                <c:ptCount val="1"/>
                <c:pt idx="0">
                  <c:v>RELATIVO</c:v>
                </c:pt>
              </c:strCache>
            </c:strRef>
          </c:tx>
          <c:spPr>
            <a:ln w="28575" cap="rnd">
              <a:noFill/>
              <a:round/>
            </a:ln>
            <a:effectLst/>
          </c:spPr>
          <c:invertIfNegative val="0"/>
          <c:val>
            <c:numRef>
              <c:f>'T.D. DEBLD'!$H$4:$H$11</c:f>
              <c:numCache>
                <c:formatCode>0.0%</c:formatCode>
                <c:ptCount val="8"/>
                <c:pt idx="0">
                  <c:v>0.34036144578313254</c:v>
                </c:pt>
                <c:pt idx="1">
                  <c:v>0.22590361445783133</c:v>
                </c:pt>
                <c:pt idx="2">
                  <c:v>0.17771084337349397</c:v>
                </c:pt>
                <c:pt idx="3">
                  <c:v>0.11746987951807229</c:v>
                </c:pt>
                <c:pt idx="4">
                  <c:v>6.9277108433734941E-2</c:v>
                </c:pt>
                <c:pt idx="5">
                  <c:v>5.1204819277108432E-2</c:v>
                </c:pt>
                <c:pt idx="6">
                  <c:v>1.2048192771084338E-2</c:v>
                </c:pt>
                <c:pt idx="7">
                  <c:v>6.024096385542169E-3</c:v>
                </c:pt>
              </c:numCache>
            </c:numRef>
          </c:val>
          <c:extLst>
            <c:ext xmlns:c16="http://schemas.microsoft.com/office/drawing/2014/chart" uri="{C3380CC4-5D6E-409C-BE32-E72D297353CC}">
              <c16:uniqueId val="{00000001-F229-4A70-A658-7722A0A577E8}"/>
            </c:ext>
          </c:extLst>
        </c:ser>
        <c:dLbls>
          <c:showLegendKey val="0"/>
          <c:showVal val="0"/>
          <c:showCatName val="0"/>
          <c:showSerName val="0"/>
          <c:showPercent val="0"/>
          <c:showBubbleSize val="0"/>
        </c:dLbls>
        <c:gapWidth val="219"/>
        <c:axId val="-1413129472"/>
        <c:axId val="-1413130560"/>
      </c:barChart>
      <c:lineChart>
        <c:grouping val="standard"/>
        <c:varyColors val="0"/>
        <c:ser>
          <c:idx val="2"/>
          <c:order val="2"/>
          <c:tx>
            <c:strRef>
              <c:f>'T.D. DEBLD'!$I$3</c:f>
              <c:strCache>
                <c:ptCount val="1"/>
                <c:pt idx="0">
                  <c:v>ACUMULADA</c:v>
                </c:pt>
              </c:strCache>
            </c:strRef>
          </c:tx>
          <c:spPr>
            <a:ln w="28575" cap="rnd">
              <a:solidFill>
                <a:schemeClr val="accent3"/>
              </a:solidFill>
              <a:round/>
            </a:ln>
            <a:effectLst/>
          </c:spPr>
          <c:marker>
            <c:symbol val="none"/>
          </c:marker>
          <c:dLbls>
            <c:dLbl>
              <c:idx val="7"/>
              <c:delete val="1"/>
              <c:extLst>
                <c:ext xmlns:c15="http://schemas.microsoft.com/office/drawing/2012/chart" uri="{CE6537A1-D6FC-4f65-9D91-7224C49458BB}"/>
                <c:ext xmlns:c16="http://schemas.microsoft.com/office/drawing/2014/chart" uri="{C3380CC4-5D6E-409C-BE32-E72D297353CC}">
                  <c16:uniqueId val="{00000002-16A6-4C68-A299-E0EB46E617D8}"/>
                </c:ext>
              </c:extLst>
            </c:dLbl>
            <c:spPr>
              <a:noFill/>
              <a:ln>
                <a:noFill/>
              </a:ln>
              <a:effectLst/>
            </c:spPr>
            <c:txPr>
              <a:bodyPr wrap="square" lIns="38100" tIns="19050" rIns="38100" bIns="19050" anchor="ctr">
                <a:spAutoFit/>
              </a:bodyPr>
              <a:lstStyle/>
              <a:p>
                <a:pPr>
                  <a:defRPr sz="105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'T.D. DEBLD'!$I$4:$I$11</c:f>
              <c:numCache>
                <c:formatCode>0%</c:formatCode>
                <c:ptCount val="8"/>
                <c:pt idx="0">
                  <c:v>0.34036144578313254</c:v>
                </c:pt>
                <c:pt idx="1">
                  <c:v>0.5662650602409639</c:v>
                </c:pt>
                <c:pt idx="2">
                  <c:v>0.74397590361445787</c:v>
                </c:pt>
                <c:pt idx="3">
                  <c:v>0.86144578313253017</c:v>
                </c:pt>
                <c:pt idx="4">
                  <c:v>0.93072289156626509</c:v>
                </c:pt>
                <c:pt idx="5">
                  <c:v>0.98192771084337349</c:v>
                </c:pt>
                <c:pt idx="6">
                  <c:v>0.99397590361445787</c:v>
                </c:pt>
                <c:pt idx="7">
                  <c:v>1</c:v>
                </c:pt>
              </c:numCache>
            </c:numRef>
          </c:val>
          <c:smooth val="0"/>
          <c:extLst>
            <c:ext xmlns:c16="http://schemas.microsoft.com/office/drawing/2014/chart" uri="{C3380CC4-5D6E-409C-BE32-E72D297353CC}">
              <c16:uniqueId val="{00000002-F229-4A70-A658-7722A0A577E8}"/>
            </c:ext>
          </c:extLst>
        </c:ser>
        <c:dLbls>
          <c:showLegendKey val="0"/>
          <c:showVal val="0"/>
          <c:showCatName val="0"/>
          <c:showSerName val="0"/>
          <c:showPercent val="0"/>
          <c:showBubbleSize val="0"/>
        </c:dLbls>
        <c:marker val="1"/>
        <c:smooth val="0"/>
        <c:axId val="143325408"/>
        <c:axId val="281602224"/>
      </c:lineChart>
      <c:catAx>
        <c:axId val="-1413129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s-CO"/>
          </a:p>
        </c:txPr>
        <c:crossAx val="-1413130560"/>
        <c:crosses val="autoZero"/>
        <c:auto val="1"/>
        <c:lblAlgn val="ctr"/>
        <c:lblOffset val="100"/>
        <c:noMultiLvlLbl val="0"/>
      </c:catAx>
      <c:valAx>
        <c:axId val="-1413130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vert="horz"/>
          <a:lstStyle/>
          <a:p>
            <a:pPr>
              <a:defRPr sz="900"/>
            </a:pPr>
            <a:endParaRPr lang="es-CO"/>
          </a:p>
        </c:txPr>
        <c:crossAx val="-1413129472"/>
        <c:crosses val="autoZero"/>
        <c:crossBetween val="between"/>
      </c:valAx>
      <c:valAx>
        <c:axId val="281602224"/>
        <c:scaling>
          <c:orientation val="minMax"/>
        </c:scaling>
        <c:delete val="0"/>
        <c:axPos val="r"/>
        <c:numFmt formatCode="0%" sourceLinked="1"/>
        <c:majorTickMark val="out"/>
        <c:minorTickMark val="none"/>
        <c:tickLblPos val="nextTo"/>
        <c:txPr>
          <a:bodyPr/>
          <a:lstStyle/>
          <a:p>
            <a:pPr>
              <a:defRPr sz="900"/>
            </a:pPr>
            <a:endParaRPr lang="es-CO"/>
          </a:p>
        </c:txPr>
        <c:crossAx val="143325408"/>
        <c:crosses val="max"/>
        <c:crossBetween val="between"/>
      </c:valAx>
      <c:catAx>
        <c:axId val="143325408"/>
        <c:scaling>
          <c:orientation val="minMax"/>
        </c:scaling>
        <c:delete val="1"/>
        <c:axPos val="b"/>
        <c:majorTickMark val="out"/>
        <c:minorTickMark val="none"/>
        <c:tickLblPos val="nextTo"/>
        <c:crossAx val="281602224"/>
        <c:crosses val="autoZero"/>
        <c:auto val="1"/>
        <c:lblAlgn val="ctr"/>
        <c:lblOffset val="100"/>
        <c:noMultiLvlLbl val="0"/>
      </c:catAx>
      <c:dTable>
        <c:showHorzBorder val="1"/>
        <c:showVertBorder val="1"/>
        <c:showOutline val="1"/>
        <c:showKeys val="0"/>
        <c:spPr>
          <a:noFill/>
          <a:ln w="3175">
            <a:solidFill>
              <a:srgbClr val="000000"/>
            </a:solidFill>
            <a:prstDash val="solid"/>
          </a:ln>
          <a:effectLst/>
        </c:spPr>
        <c:txPr>
          <a:bodyPr rot="0" vert="horz"/>
          <a:lstStyle/>
          <a:p>
            <a:pPr rtl="0">
              <a:defRPr sz="800" b="1"/>
            </a:pPr>
            <a:endParaRPr lang="es-CO"/>
          </a:p>
        </c:txPr>
      </c:dTable>
      <c:spPr>
        <a:noFill/>
        <a:ln>
          <a:noFill/>
        </a:ln>
        <a:effectLst/>
      </c:spPr>
    </c:plotArea>
    <c:legend>
      <c:legendPos val="b"/>
      <c:overlay val="0"/>
      <c:spPr>
        <a:noFill/>
        <a:ln>
          <a:noFill/>
        </a:ln>
        <a:effectLst/>
      </c:spPr>
      <c:txPr>
        <a:bodyPr rot="0" vert="horz"/>
        <a:lstStyle/>
        <a:p>
          <a:pPr>
            <a:defRPr/>
          </a:pPr>
          <a:endParaRPr lang="es-CO"/>
        </a:p>
      </c:txPr>
    </c:legend>
    <c:plotVisOnly val="1"/>
    <c:dispBlanksAs val="gap"/>
    <c:showDLblsOverMax val="0"/>
  </c:chart>
  <c:spPr>
    <a:noFill/>
    <a:ln w="9525" cap="flat" cmpd="sng" algn="ctr">
      <a:solidFill>
        <a:schemeClr val="tx1"/>
      </a:solidFill>
      <a:round/>
    </a:ln>
    <a:effectLst/>
  </c:spPr>
  <c:txPr>
    <a:bodyPr/>
    <a:lstStyle/>
    <a:p>
      <a:pPr>
        <a:defRPr sz="800"/>
      </a:pPr>
      <a:endParaRPr lang="es-CO"/>
    </a:p>
  </c:txPr>
  <c:printSettings>
    <c:headerFooter/>
    <c:pageMargins b="0.75000000000000144" l="0.70000000000000062" r="0.70000000000000062" t="0.75000000000000144"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200" b="1" i="0" u="none" strike="noStrike" kern="1200" spc="0" baseline="0">
                <a:solidFill>
                  <a:schemeClr val="tx1">
                    <a:lumMod val="65000"/>
                    <a:lumOff val="35000"/>
                  </a:schemeClr>
                </a:solidFill>
                <a:latin typeface="+mn-lt"/>
                <a:ea typeface="+mn-ea"/>
                <a:cs typeface="+mn-cs"/>
              </a:defRPr>
            </a:pPr>
            <a:r>
              <a:rPr lang="es-MX" sz="1200" b="1"/>
              <a:t>AMENAZAS</a:t>
            </a:r>
          </a:p>
        </c:rich>
      </c:tx>
      <c:overlay val="0"/>
      <c:spPr>
        <a:noFill/>
        <a:ln>
          <a:noFill/>
        </a:ln>
        <a:effectLst/>
      </c:spPr>
    </c:title>
    <c:autoTitleDeleted val="0"/>
    <c:plotArea>
      <c:layout/>
      <c:barChart>
        <c:barDir val="col"/>
        <c:grouping val="clustered"/>
        <c:varyColors val="0"/>
        <c:ser>
          <c:idx val="0"/>
          <c:order val="0"/>
          <c:tx>
            <c:strRef>
              <c:f>'T.D.AMENZ'!$G$3</c:f>
              <c:strCache>
                <c:ptCount val="1"/>
                <c:pt idx="0">
                  <c:v>ABSOLUTO</c:v>
                </c:pt>
              </c:strCache>
            </c:strRef>
          </c:tx>
          <c:spPr>
            <a:solidFill>
              <a:srgbClr val="D5CA3D"/>
            </a:solidFill>
            <a:ln>
              <a:solidFill>
                <a:srgbClr val="0F3D38"/>
              </a:solidFill>
            </a:ln>
            <a:effectLst/>
          </c:spPr>
          <c:invertIfNegative val="0"/>
          <c:dPt>
            <c:idx val="7"/>
            <c:invertIfNegative val="0"/>
            <c:bubble3D val="0"/>
            <c:spPr>
              <a:noFill/>
              <a:ln>
                <a:noFill/>
              </a:ln>
              <a:effectLst/>
            </c:spPr>
            <c:extLst>
              <c:ext xmlns:c16="http://schemas.microsoft.com/office/drawing/2014/chart" uri="{C3380CC4-5D6E-409C-BE32-E72D297353CC}">
                <c16:uniqueId val="{00000001-BB4D-4E76-82EF-C66FC5A8F5B9}"/>
              </c:ext>
            </c:extLst>
          </c:dPt>
          <c:cat>
            <c:strRef>
              <c:f>'T.D.AMENZ'!$F$5:$F$10</c:f>
              <c:strCache>
                <c:ptCount val="6"/>
                <c:pt idx="0">
                  <c:v>LEGAL </c:v>
                </c:pt>
                <c:pt idx="1">
                  <c:v>SEGURIDAD DE LA INFORMACION</c:v>
                </c:pt>
                <c:pt idx="2">
                  <c:v>CLIMA </c:v>
                </c:pt>
                <c:pt idx="3">
                  <c:v>POLITICAS</c:v>
                </c:pt>
                <c:pt idx="4">
                  <c:v>INVERSIÓN </c:v>
                </c:pt>
                <c:pt idx="5">
                  <c:v>OFERTA</c:v>
                </c:pt>
              </c:strCache>
              <c:extLst/>
            </c:strRef>
          </c:cat>
          <c:val>
            <c:numRef>
              <c:f>'T.D.AMENZ'!$G$4:$G$10</c:f>
              <c:numCache>
                <c:formatCode>General</c:formatCode>
                <c:ptCount val="7"/>
                <c:pt idx="0">
                  <c:v>52</c:v>
                </c:pt>
                <c:pt idx="1">
                  <c:v>43</c:v>
                </c:pt>
                <c:pt idx="2">
                  <c:v>23</c:v>
                </c:pt>
                <c:pt idx="3">
                  <c:v>23</c:v>
                </c:pt>
                <c:pt idx="4">
                  <c:v>15</c:v>
                </c:pt>
                <c:pt idx="5">
                  <c:v>11</c:v>
                </c:pt>
                <c:pt idx="6">
                  <c:v>10</c:v>
                </c:pt>
              </c:numCache>
              <c:extLst/>
            </c:numRef>
          </c:val>
          <c:extLst>
            <c:ext xmlns:c16="http://schemas.microsoft.com/office/drawing/2014/chart" uri="{C3380CC4-5D6E-409C-BE32-E72D297353CC}">
              <c16:uniqueId val="{00000000-5587-44BC-98B7-D36AE77A7634}"/>
            </c:ext>
          </c:extLst>
        </c:ser>
        <c:ser>
          <c:idx val="1"/>
          <c:order val="1"/>
          <c:tx>
            <c:strRef>
              <c:f>'T.D.AMENZ'!$H$3</c:f>
              <c:strCache>
                <c:ptCount val="1"/>
                <c:pt idx="0">
                  <c:v>RELATIVO</c:v>
                </c:pt>
              </c:strCache>
            </c:strRef>
          </c:tx>
          <c:spPr>
            <a:ln w="28575" cap="rnd">
              <a:noFill/>
              <a:round/>
            </a:ln>
            <a:effectLst/>
          </c:spPr>
          <c:invertIfNegative val="0"/>
          <c:cat>
            <c:strLit>
              <c:ptCount val="7"/>
              <c:pt idx="0">
                <c:v>SOCIAL</c:v>
              </c:pt>
              <c:pt idx="1">
                <c:v>LEGAL </c:v>
              </c:pt>
              <c:pt idx="2">
                <c:v>SEGURIDAD DE LA INFORMACION</c:v>
              </c:pt>
              <c:pt idx="3">
                <c:v>CLIMA </c:v>
              </c:pt>
              <c:pt idx="4">
                <c:v>POLITICAS</c:v>
              </c:pt>
              <c:pt idx="5">
                <c:v>INVERSIÓN </c:v>
              </c:pt>
              <c:pt idx="6">
                <c:v>OFERTA</c:v>
              </c:pt>
              <c:extLst>
                <c:ext xmlns:c15="http://schemas.microsoft.com/office/drawing/2012/chart" uri="{02D57815-91ED-43cb-92C2-25804820EDAC}">
                  <c15:autoCat val="1"/>
                </c:ext>
              </c:extLst>
            </c:strLit>
          </c:cat>
          <c:val>
            <c:numRef>
              <c:f>'T.D.AMENZ'!$H$5:$H$10</c:f>
              <c:numCache>
                <c:formatCode>0.0%</c:formatCode>
                <c:ptCount val="6"/>
                <c:pt idx="0">
                  <c:v>0.24293785310734464</c:v>
                </c:pt>
                <c:pt idx="1">
                  <c:v>0.12994350282485875</c:v>
                </c:pt>
                <c:pt idx="2">
                  <c:v>0.12994350282485875</c:v>
                </c:pt>
                <c:pt idx="3">
                  <c:v>8.4745762711864403E-2</c:v>
                </c:pt>
                <c:pt idx="4">
                  <c:v>6.2146892655367235E-2</c:v>
                </c:pt>
                <c:pt idx="5">
                  <c:v>5.6497175141242938E-2</c:v>
                </c:pt>
              </c:numCache>
              <c:extLst/>
            </c:numRef>
          </c:val>
          <c:extLst>
            <c:ext xmlns:c16="http://schemas.microsoft.com/office/drawing/2014/chart" uri="{C3380CC4-5D6E-409C-BE32-E72D297353CC}">
              <c16:uniqueId val="{00000001-5587-44BC-98B7-D36AE77A7634}"/>
            </c:ext>
          </c:extLst>
        </c:ser>
        <c:dLbls>
          <c:showLegendKey val="0"/>
          <c:showVal val="0"/>
          <c:showCatName val="0"/>
          <c:showSerName val="0"/>
          <c:showPercent val="0"/>
          <c:showBubbleSize val="0"/>
        </c:dLbls>
        <c:gapWidth val="219"/>
        <c:axId val="-1413124576"/>
        <c:axId val="-1413125120"/>
      </c:barChart>
      <c:lineChart>
        <c:grouping val="standard"/>
        <c:varyColors val="0"/>
        <c:ser>
          <c:idx val="2"/>
          <c:order val="2"/>
          <c:tx>
            <c:strRef>
              <c:f>'T.D.AMENZ'!$I$3</c:f>
              <c:strCache>
                <c:ptCount val="1"/>
                <c:pt idx="0">
                  <c:v>ACUMULADA</c:v>
                </c:pt>
              </c:strCache>
            </c:strRef>
          </c:tx>
          <c:spPr>
            <a:ln w="28575" cap="rnd">
              <a:solidFill>
                <a:schemeClr val="accent3"/>
              </a:solidFill>
              <a:round/>
            </a:ln>
            <a:effectLst/>
          </c:spPr>
          <c:marker>
            <c:symbol val="none"/>
          </c:marker>
          <c:dLbls>
            <c:dLbl>
              <c:idx val="3"/>
              <c:layout>
                <c:manualLayout>
                  <c:x val="-1.1803279297962014E-2"/>
                  <c:y val="9.700486653810763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758-45D3-8AB0-A33CD0CADCAA}"/>
                </c:ext>
              </c:extLst>
            </c:dLbl>
            <c:dLbl>
              <c:idx val="6"/>
              <c:delete val="1"/>
              <c:extLst>
                <c:ext xmlns:c15="http://schemas.microsoft.com/office/drawing/2012/chart" uri="{CE6537A1-D6FC-4f65-9D91-7224C49458BB}"/>
                <c:ext xmlns:c16="http://schemas.microsoft.com/office/drawing/2014/chart" uri="{C3380CC4-5D6E-409C-BE32-E72D297353CC}">
                  <c16:uniqueId val="{00000004-FCFE-45D6-A150-B970AF4B9BA6}"/>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7"/>
              <c:pt idx="0">
                <c:v>1</c:v>
              </c:pt>
              <c:pt idx="1">
                <c:v>2</c:v>
              </c:pt>
              <c:pt idx="2">
                <c:v>3</c:v>
              </c:pt>
              <c:pt idx="3">
                <c:v>4</c:v>
              </c:pt>
              <c:pt idx="4">
                <c:v>5</c:v>
              </c:pt>
              <c:pt idx="5">
                <c:v>6</c:v>
              </c:pt>
              <c:pt idx="6">
                <c:v>7</c:v>
              </c:pt>
              <c:extLst>
                <c:ext xmlns:c15="http://schemas.microsoft.com/office/drawing/2012/chart" uri="{02D57815-91ED-43cb-92C2-25804820EDAC}">
                  <c15:autoCat val="1"/>
                </c:ext>
              </c:extLst>
            </c:strLit>
          </c:cat>
          <c:val>
            <c:numRef>
              <c:f>'T.D.AMENZ'!$I$4:$I$10</c:f>
              <c:numCache>
                <c:formatCode>0.0%</c:formatCode>
                <c:ptCount val="7"/>
                <c:pt idx="0">
                  <c:v>0.29378531073446329</c:v>
                </c:pt>
                <c:pt idx="1">
                  <c:v>0.53672316384180796</c:v>
                </c:pt>
                <c:pt idx="2">
                  <c:v>0.66666666666666674</c:v>
                </c:pt>
                <c:pt idx="3">
                  <c:v>0.79661016949152552</c:v>
                </c:pt>
                <c:pt idx="4">
                  <c:v>0.88135593220338992</c:v>
                </c:pt>
                <c:pt idx="5">
                  <c:v>0.94350282485875714</c:v>
                </c:pt>
                <c:pt idx="6">
                  <c:v>1</c:v>
                </c:pt>
              </c:numCache>
              <c:extLst/>
            </c:numRef>
          </c:val>
          <c:smooth val="0"/>
          <c:extLst>
            <c:ext xmlns:c16="http://schemas.microsoft.com/office/drawing/2014/chart" uri="{C3380CC4-5D6E-409C-BE32-E72D297353CC}">
              <c16:uniqueId val="{00000002-5587-44BC-98B7-D36AE77A7634}"/>
            </c:ext>
          </c:extLst>
        </c:ser>
        <c:dLbls>
          <c:showLegendKey val="0"/>
          <c:showVal val="0"/>
          <c:showCatName val="0"/>
          <c:showSerName val="0"/>
          <c:showPercent val="0"/>
          <c:showBubbleSize val="0"/>
        </c:dLbls>
        <c:marker val="1"/>
        <c:smooth val="0"/>
        <c:axId val="994429584"/>
        <c:axId val="1080415712"/>
      </c:lineChart>
      <c:catAx>
        <c:axId val="-1413124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ES" sz="900" b="0" i="0" u="none" strike="noStrike" kern="1200" baseline="0">
                <a:solidFill>
                  <a:schemeClr val="tx1">
                    <a:lumMod val="65000"/>
                    <a:lumOff val="35000"/>
                  </a:schemeClr>
                </a:solidFill>
                <a:latin typeface="+mn-lt"/>
                <a:ea typeface="+mn-ea"/>
                <a:cs typeface="+mn-cs"/>
              </a:defRPr>
            </a:pPr>
            <a:endParaRPr lang="es-CO"/>
          </a:p>
        </c:txPr>
        <c:crossAx val="-1413125120"/>
        <c:crosses val="autoZero"/>
        <c:auto val="1"/>
        <c:lblAlgn val="ctr"/>
        <c:lblOffset val="100"/>
        <c:noMultiLvlLbl val="0"/>
      </c:catAx>
      <c:valAx>
        <c:axId val="-14131251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ES" sz="900" b="0" i="0" u="none" strike="noStrike" kern="1200" baseline="0">
                <a:solidFill>
                  <a:schemeClr val="tx1">
                    <a:lumMod val="95000"/>
                    <a:lumOff val="5000"/>
                  </a:schemeClr>
                </a:solidFill>
                <a:latin typeface="+mn-lt"/>
                <a:ea typeface="+mn-ea"/>
                <a:cs typeface="+mn-cs"/>
              </a:defRPr>
            </a:pPr>
            <a:endParaRPr lang="es-CO"/>
          </a:p>
        </c:txPr>
        <c:crossAx val="-1413124576"/>
        <c:crosses val="autoZero"/>
        <c:crossBetween val="between"/>
      </c:valAx>
      <c:valAx>
        <c:axId val="1080415712"/>
        <c:scaling>
          <c:orientation val="minMax"/>
        </c:scaling>
        <c:delete val="0"/>
        <c:axPos val="r"/>
        <c:numFmt formatCode="0.0%" sourceLinked="1"/>
        <c:majorTickMark val="out"/>
        <c:minorTickMark val="none"/>
        <c:tickLblPos val="nextTo"/>
        <c:crossAx val="994429584"/>
        <c:crosses val="max"/>
        <c:crossBetween val="between"/>
      </c:valAx>
      <c:catAx>
        <c:axId val="994429584"/>
        <c:scaling>
          <c:orientation val="minMax"/>
        </c:scaling>
        <c:delete val="1"/>
        <c:axPos val="b"/>
        <c:numFmt formatCode="General" sourceLinked="1"/>
        <c:majorTickMark val="out"/>
        <c:minorTickMark val="none"/>
        <c:tickLblPos val="nextTo"/>
        <c:crossAx val="1080415712"/>
        <c:crosses val="autoZero"/>
        <c:auto val="1"/>
        <c:lblAlgn val="ctr"/>
        <c:lblOffset val="100"/>
        <c:noMultiLvlLbl val="0"/>
      </c:catAx>
      <c:dTable>
        <c:showHorzBorder val="1"/>
        <c:showVertBorder val="1"/>
        <c:showOutline val="1"/>
        <c:showKeys val="0"/>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ES" sz="800" b="1" i="0" u="none" strike="noStrike" kern="1200" baseline="0">
                <a:solidFill>
                  <a:schemeClr val="tx1">
                    <a:lumMod val="95000"/>
                    <a:lumOff val="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lang="es-ES"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rgbClr val="002060"/>
      </a:solidFill>
      <a:round/>
    </a:ln>
    <a:effectLst/>
  </c:spPr>
  <c:txPr>
    <a:bodyPr/>
    <a:lstStyle/>
    <a:p>
      <a:pPr>
        <a:defRPr/>
      </a:pPr>
      <a:endParaRPr lang="es-CO"/>
    </a:p>
  </c:txPr>
  <c:printSettings>
    <c:headerFooter/>
    <c:pageMargins b="0.75000000000000144" l="0.70000000000000062" r="0.70000000000000062" t="0.750000000000001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200" b="1" i="0" u="none" strike="noStrike" kern="1200" spc="0" baseline="0">
                <a:solidFill>
                  <a:schemeClr val="tx1">
                    <a:lumMod val="65000"/>
                    <a:lumOff val="35000"/>
                  </a:schemeClr>
                </a:solidFill>
                <a:latin typeface="+mn-lt"/>
                <a:ea typeface="+mn-ea"/>
                <a:cs typeface="+mn-cs"/>
              </a:defRPr>
            </a:pPr>
            <a:r>
              <a:rPr lang="es-MX" sz="1200" b="1"/>
              <a:t>FORTALEZAS</a:t>
            </a:r>
          </a:p>
        </c:rich>
      </c:tx>
      <c:overlay val="0"/>
      <c:spPr>
        <a:noFill/>
        <a:ln>
          <a:noFill/>
        </a:ln>
        <a:effectLst/>
      </c:spPr>
    </c:title>
    <c:autoTitleDeleted val="0"/>
    <c:plotArea>
      <c:layout>
        <c:manualLayout>
          <c:layoutTarget val="inner"/>
          <c:xMode val="edge"/>
          <c:yMode val="edge"/>
          <c:x val="0.1138830314398992"/>
          <c:y val="0.12408210333762078"/>
          <c:w val="0.80578955618270709"/>
          <c:h val="0.56166201360077772"/>
        </c:manualLayout>
      </c:layout>
      <c:barChart>
        <c:barDir val="col"/>
        <c:grouping val="clustered"/>
        <c:varyColors val="0"/>
        <c:ser>
          <c:idx val="0"/>
          <c:order val="0"/>
          <c:tx>
            <c:strRef>
              <c:f>'T.D. FORTLZ'!$G$3</c:f>
              <c:strCache>
                <c:ptCount val="1"/>
                <c:pt idx="0">
                  <c:v>ABSOLUTO</c:v>
                </c:pt>
              </c:strCache>
            </c:strRef>
          </c:tx>
          <c:spPr>
            <a:solidFill>
              <a:srgbClr val="D5CA3D"/>
            </a:solidFill>
            <a:ln>
              <a:solidFill>
                <a:schemeClr val="tx1"/>
              </a:solidFill>
            </a:ln>
            <a:effectLst/>
          </c:spPr>
          <c:invertIfNegative val="0"/>
          <c:dPt>
            <c:idx val="7"/>
            <c:invertIfNegative val="0"/>
            <c:bubble3D val="0"/>
            <c:spPr>
              <a:noFill/>
              <a:ln>
                <a:noFill/>
              </a:ln>
              <a:effectLst/>
            </c:spPr>
            <c:extLst>
              <c:ext xmlns:c16="http://schemas.microsoft.com/office/drawing/2014/chart" uri="{C3380CC4-5D6E-409C-BE32-E72D297353CC}">
                <c16:uniqueId val="{00000003-6FB1-40C9-9421-AC8DF87EAAB1}"/>
              </c:ext>
            </c:extLst>
          </c:dPt>
          <c:dPt>
            <c:idx val="8"/>
            <c:invertIfNegative val="0"/>
            <c:bubble3D val="0"/>
            <c:extLst>
              <c:ext xmlns:c16="http://schemas.microsoft.com/office/drawing/2014/chart" uri="{C3380CC4-5D6E-409C-BE32-E72D297353CC}">
                <c16:uniqueId val="{00000003-A86E-4149-BE96-CB48D77A5E9A}"/>
              </c:ext>
            </c:extLst>
          </c:dPt>
          <c:cat>
            <c:strRef>
              <c:f>'T.D. FORTLZ'!$F$5:$F$11</c:f>
              <c:strCache>
                <c:ptCount val="7"/>
                <c:pt idx="0">
                  <c:v>NORMATIVIDAD</c:v>
                </c:pt>
                <c:pt idx="1">
                  <c:v>RELACIONAMIENTO</c:v>
                </c:pt>
                <c:pt idx="2">
                  <c:v>INSTALACIONES</c:v>
                </c:pt>
                <c:pt idx="3">
                  <c:v>SEGUIMIENTO Y CONTROL </c:v>
                </c:pt>
                <c:pt idx="4">
                  <c:v>MONEDA</c:v>
                </c:pt>
                <c:pt idx="5">
                  <c:v>MONEDA</c:v>
                </c:pt>
                <c:pt idx="6">
                  <c:v>Total general</c:v>
                </c:pt>
              </c:strCache>
              <c:extLst/>
            </c:strRef>
          </c:cat>
          <c:val>
            <c:numRef>
              <c:f>'T.D. FORTLZ'!$G$4:$G$11</c:f>
              <c:numCache>
                <c:formatCode>General</c:formatCode>
                <c:ptCount val="8"/>
                <c:pt idx="0">
                  <c:v>99</c:v>
                </c:pt>
                <c:pt idx="1">
                  <c:v>94</c:v>
                </c:pt>
                <c:pt idx="2">
                  <c:v>71</c:v>
                </c:pt>
                <c:pt idx="3">
                  <c:v>54</c:v>
                </c:pt>
                <c:pt idx="4">
                  <c:v>19</c:v>
                </c:pt>
                <c:pt idx="5">
                  <c:v>15</c:v>
                </c:pt>
                <c:pt idx="6">
                  <c:v>8</c:v>
                </c:pt>
                <c:pt idx="7">
                  <c:v>360</c:v>
                </c:pt>
              </c:numCache>
              <c:extLst/>
            </c:numRef>
          </c:val>
          <c:extLst>
            <c:ext xmlns:c16="http://schemas.microsoft.com/office/drawing/2014/chart" uri="{C3380CC4-5D6E-409C-BE32-E72D297353CC}">
              <c16:uniqueId val="{00000000-12AD-42E4-B3CA-0576B8CB97EC}"/>
            </c:ext>
          </c:extLst>
        </c:ser>
        <c:ser>
          <c:idx val="1"/>
          <c:order val="1"/>
          <c:tx>
            <c:strRef>
              <c:f>'T.D. FORTLZ'!$H$3</c:f>
              <c:strCache>
                <c:ptCount val="1"/>
                <c:pt idx="0">
                  <c:v>RELATIVO</c:v>
                </c:pt>
              </c:strCache>
            </c:strRef>
          </c:tx>
          <c:spPr>
            <a:ln w="28575" cap="rnd">
              <a:noFill/>
              <a:round/>
            </a:ln>
            <a:effectLst/>
          </c:spPr>
          <c:invertIfNegative val="0"/>
          <c:cat>
            <c:strLit>
              <c:ptCount val="8"/>
              <c:pt idx="0">
                <c:v>TALENTO HUMANO </c:v>
              </c:pt>
              <c:pt idx="1">
                <c:v>NORMATIVIDAD</c:v>
              </c:pt>
              <c:pt idx="2">
                <c:v>RELACIONAMIENTO</c:v>
              </c:pt>
              <c:pt idx="3">
                <c:v>INSTALACIONES</c:v>
              </c:pt>
              <c:pt idx="4">
                <c:v>SEGUIMIENTO Y CONTROL </c:v>
              </c:pt>
              <c:pt idx="5">
                <c:v>MONEDA</c:v>
              </c:pt>
              <c:pt idx="6">
                <c:v>MONEDA</c:v>
              </c:pt>
              <c:pt idx="7">
                <c:v>Total general</c:v>
              </c:pt>
              <c:extLst>
                <c:ext xmlns:c15="http://schemas.microsoft.com/office/drawing/2012/chart" uri="{02D57815-91ED-43cb-92C2-25804820EDAC}">
                  <c15:autoCat val="1"/>
                </c:ext>
              </c:extLst>
            </c:strLit>
          </c:cat>
          <c:val>
            <c:numRef>
              <c:f>'T.D. FORTLZ'!$H$5:$H$11</c:f>
              <c:numCache>
                <c:formatCode>0%</c:formatCode>
                <c:ptCount val="7"/>
                <c:pt idx="0">
                  <c:v>0.26111111111111113</c:v>
                </c:pt>
                <c:pt idx="1">
                  <c:v>0.19722222222222222</c:v>
                </c:pt>
                <c:pt idx="2">
                  <c:v>0.15</c:v>
                </c:pt>
                <c:pt idx="3">
                  <c:v>5.2777777777777778E-2</c:v>
                </c:pt>
                <c:pt idx="4">
                  <c:v>4.1666666666666664E-2</c:v>
                </c:pt>
                <c:pt idx="5">
                  <c:v>2.2222222222222223E-2</c:v>
                </c:pt>
              </c:numCache>
              <c:extLst/>
            </c:numRef>
          </c:val>
          <c:extLst>
            <c:ext xmlns:c16="http://schemas.microsoft.com/office/drawing/2014/chart" uri="{C3380CC4-5D6E-409C-BE32-E72D297353CC}">
              <c16:uniqueId val="{00000001-12AD-42E4-B3CA-0576B8CB97EC}"/>
            </c:ext>
          </c:extLst>
        </c:ser>
        <c:dLbls>
          <c:showLegendKey val="0"/>
          <c:showVal val="0"/>
          <c:showCatName val="0"/>
          <c:showSerName val="0"/>
          <c:showPercent val="0"/>
          <c:showBubbleSize val="0"/>
        </c:dLbls>
        <c:gapWidth val="219"/>
        <c:axId val="-1413123488"/>
        <c:axId val="-1413121856"/>
      </c:barChart>
      <c:lineChart>
        <c:grouping val="standard"/>
        <c:varyColors val="0"/>
        <c:ser>
          <c:idx val="2"/>
          <c:order val="2"/>
          <c:tx>
            <c:strRef>
              <c:f>'T.D. FORTLZ'!$I$3</c:f>
              <c:strCache>
                <c:ptCount val="1"/>
                <c:pt idx="0">
                  <c:v>ACUMULADA</c:v>
                </c:pt>
              </c:strCache>
            </c:strRef>
          </c:tx>
          <c:spPr>
            <a:ln w="28575" cap="rnd">
              <a:solidFill>
                <a:schemeClr val="accent3"/>
              </a:solidFill>
              <a:round/>
            </a:ln>
            <a:effectLst/>
          </c:spPr>
          <c:marker>
            <c:symbol val="none"/>
          </c:marker>
          <c:dLbls>
            <c:dLbl>
              <c:idx val="1"/>
              <c:layout>
                <c:manualLayout>
                  <c:x val="-1.6591248820250475E-2"/>
                  <c:y val="2.13133992714125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DFF-4FD0-8405-EEE6CF725068}"/>
                </c:ext>
              </c:extLst>
            </c:dLbl>
            <c:dLbl>
              <c:idx val="2"/>
              <c:layout>
                <c:manualLayout>
                  <c:x val="-1.8434720911389375E-2"/>
                  <c:y val="2.7402941920387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DFF-4FD0-8405-EEE6CF725068}"/>
                </c:ext>
              </c:extLst>
            </c:dLbl>
            <c:dLbl>
              <c:idx val="6"/>
              <c:delete val="1"/>
              <c:extLst>
                <c:ext xmlns:c15="http://schemas.microsoft.com/office/drawing/2012/chart" uri="{CE6537A1-D6FC-4f65-9D91-7224C49458BB}"/>
                <c:ext xmlns:c16="http://schemas.microsoft.com/office/drawing/2014/chart" uri="{C3380CC4-5D6E-409C-BE32-E72D297353CC}">
                  <c16:uniqueId val="{00000002-25BB-4517-AB23-053C6BFE9BED}"/>
                </c:ext>
              </c:extLst>
            </c:dLbl>
            <c:spPr>
              <a:noFill/>
              <a:ln>
                <a:noFill/>
              </a:ln>
              <a:effectLst/>
            </c:spPr>
            <c:txPr>
              <a:bodyPr wrap="square" lIns="38100" tIns="19050" rIns="38100" bIns="19050" anchor="ctr">
                <a:spAutoFit/>
              </a:bodyPr>
              <a:lstStyle/>
              <a:p>
                <a:pPr>
                  <a:defRPr sz="105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1</c:v>
              </c:pt>
              <c:pt idx="1">
                <c:v>2</c:v>
              </c:pt>
              <c:pt idx="2">
                <c:v>3</c:v>
              </c:pt>
              <c:pt idx="3">
                <c:v>4</c:v>
              </c:pt>
              <c:pt idx="4">
                <c:v>5</c:v>
              </c:pt>
              <c:pt idx="5">
                <c:v>6</c:v>
              </c:pt>
              <c:pt idx="6">
                <c:v>7</c:v>
              </c:pt>
              <c:pt idx="7">
                <c:v>8</c:v>
              </c:pt>
              <c:extLst>
                <c:ext xmlns:c15="http://schemas.microsoft.com/office/drawing/2012/chart" uri="{02D57815-91ED-43cb-92C2-25804820EDAC}">
                  <c15:autoCat val="1"/>
                </c:ext>
              </c:extLst>
            </c:strLit>
          </c:cat>
          <c:val>
            <c:numRef>
              <c:f>'T.D. FORTLZ'!$I$4:$I$11</c:f>
              <c:numCache>
                <c:formatCode>0%</c:formatCode>
                <c:ptCount val="8"/>
                <c:pt idx="0">
                  <c:v>0.27500000000000002</c:v>
                </c:pt>
                <c:pt idx="1">
                  <c:v>0.5361111111111112</c:v>
                </c:pt>
                <c:pt idx="2">
                  <c:v>0.73333333333333339</c:v>
                </c:pt>
                <c:pt idx="3">
                  <c:v>0.88333333333333341</c:v>
                </c:pt>
                <c:pt idx="4">
                  <c:v>0.93611111111111123</c:v>
                </c:pt>
                <c:pt idx="5">
                  <c:v>0.97777777777777786</c:v>
                </c:pt>
                <c:pt idx="6">
                  <c:v>1</c:v>
                </c:pt>
              </c:numCache>
              <c:extLst/>
            </c:numRef>
          </c:val>
          <c:smooth val="0"/>
          <c:extLst>
            <c:ext xmlns:c16="http://schemas.microsoft.com/office/drawing/2014/chart" uri="{C3380CC4-5D6E-409C-BE32-E72D297353CC}">
              <c16:uniqueId val="{00000002-12AD-42E4-B3CA-0576B8CB97EC}"/>
            </c:ext>
          </c:extLst>
        </c:ser>
        <c:dLbls>
          <c:showLegendKey val="0"/>
          <c:showVal val="0"/>
          <c:showCatName val="0"/>
          <c:showSerName val="0"/>
          <c:showPercent val="0"/>
          <c:showBubbleSize val="0"/>
        </c:dLbls>
        <c:marker val="1"/>
        <c:smooth val="0"/>
        <c:axId val="598865840"/>
        <c:axId val="658088752"/>
      </c:lineChart>
      <c:catAx>
        <c:axId val="-1413123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ES" sz="900" b="0" i="0" u="none" strike="noStrike" kern="1200" baseline="0">
                <a:solidFill>
                  <a:schemeClr val="tx1">
                    <a:lumMod val="65000"/>
                    <a:lumOff val="35000"/>
                  </a:schemeClr>
                </a:solidFill>
                <a:latin typeface="+mn-lt"/>
                <a:ea typeface="+mn-ea"/>
                <a:cs typeface="+mn-cs"/>
              </a:defRPr>
            </a:pPr>
            <a:endParaRPr lang="es-CO"/>
          </a:p>
        </c:txPr>
        <c:crossAx val="-1413121856"/>
        <c:crosses val="autoZero"/>
        <c:auto val="1"/>
        <c:lblAlgn val="ctr"/>
        <c:lblOffset val="100"/>
        <c:noMultiLvlLbl val="0"/>
      </c:catAx>
      <c:valAx>
        <c:axId val="-14131218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ES" sz="900" b="0" i="0" u="none" strike="noStrike" kern="1200" baseline="0">
                <a:solidFill>
                  <a:schemeClr val="tx1">
                    <a:lumMod val="95000"/>
                    <a:lumOff val="5000"/>
                  </a:schemeClr>
                </a:solidFill>
                <a:latin typeface="+mn-lt"/>
                <a:ea typeface="+mn-ea"/>
                <a:cs typeface="+mn-cs"/>
              </a:defRPr>
            </a:pPr>
            <a:endParaRPr lang="es-CO"/>
          </a:p>
        </c:txPr>
        <c:crossAx val="-1413123488"/>
        <c:crosses val="autoZero"/>
        <c:crossBetween val="between"/>
      </c:valAx>
      <c:valAx>
        <c:axId val="658088752"/>
        <c:scaling>
          <c:orientation val="minMax"/>
        </c:scaling>
        <c:delete val="0"/>
        <c:axPos val="r"/>
        <c:numFmt formatCode="0%" sourceLinked="1"/>
        <c:majorTickMark val="out"/>
        <c:minorTickMark val="none"/>
        <c:tickLblPos val="nextTo"/>
        <c:crossAx val="598865840"/>
        <c:crosses val="max"/>
        <c:crossBetween val="between"/>
      </c:valAx>
      <c:catAx>
        <c:axId val="598865840"/>
        <c:scaling>
          <c:orientation val="minMax"/>
        </c:scaling>
        <c:delete val="1"/>
        <c:axPos val="b"/>
        <c:numFmt formatCode="General" sourceLinked="1"/>
        <c:majorTickMark val="out"/>
        <c:minorTickMark val="none"/>
        <c:tickLblPos val="nextTo"/>
        <c:crossAx val="658088752"/>
        <c:crosses val="autoZero"/>
        <c:auto val="1"/>
        <c:lblAlgn val="ctr"/>
        <c:lblOffset val="100"/>
        <c:noMultiLvlLbl val="0"/>
      </c:catAx>
      <c:dTable>
        <c:showHorzBorder val="1"/>
        <c:showVertBorder val="1"/>
        <c:showOutline val="1"/>
        <c:showKeys val="0"/>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ES" sz="800" b="1" i="0" u="none" strike="noStrike" kern="1200" baseline="0">
                <a:solidFill>
                  <a:schemeClr val="tx1">
                    <a:lumMod val="95000"/>
                    <a:lumOff val="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lang="es-ES"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rgbClr val="002060"/>
      </a:solidFill>
      <a:round/>
    </a:ln>
    <a:effectLst/>
  </c:spPr>
  <c:txPr>
    <a:bodyPr/>
    <a:lstStyle/>
    <a:p>
      <a:pPr>
        <a:defRPr/>
      </a:pPr>
      <a:endParaRPr lang="es-CO"/>
    </a:p>
  </c:txPr>
  <c:printSettings>
    <c:headerFooter/>
    <c:pageMargins b="0.75000000000000144" l="0.70000000000000062" r="0.70000000000000062" t="0.75000000000000144"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200" b="1" i="0" u="none" strike="noStrike" kern="1200" spc="0" baseline="0">
                <a:solidFill>
                  <a:schemeClr val="tx1">
                    <a:lumMod val="65000"/>
                    <a:lumOff val="35000"/>
                  </a:schemeClr>
                </a:solidFill>
                <a:latin typeface="+mn-lt"/>
                <a:ea typeface="+mn-ea"/>
                <a:cs typeface="+mn-cs"/>
              </a:defRPr>
            </a:pPr>
            <a:r>
              <a:rPr lang="es-MX" sz="1200" b="1"/>
              <a:t>OPORTUNIDADES</a:t>
            </a:r>
          </a:p>
        </c:rich>
      </c:tx>
      <c:overlay val="0"/>
      <c:spPr>
        <a:noFill/>
        <a:ln>
          <a:noFill/>
        </a:ln>
        <a:effectLst/>
      </c:spPr>
    </c:title>
    <c:autoTitleDeleted val="0"/>
    <c:plotArea>
      <c:layout/>
      <c:barChart>
        <c:barDir val="col"/>
        <c:grouping val="clustered"/>
        <c:varyColors val="0"/>
        <c:ser>
          <c:idx val="0"/>
          <c:order val="0"/>
          <c:tx>
            <c:strRef>
              <c:f>'T.D. OPRTND'!$G$3</c:f>
              <c:strCache>
                <c:ptCount val="1"/>
                <c:pt idx="0">
                  <c:v>ABSOLUTO</c:v>
                </c:pt>
              </c:strCache>
            </c:strRef>
          </c:tx>
          <c:spPr>
            <a:solidFill>
              <a:srgbClr val="D5CA3D"/>
            </a:solidFill>
            <a:ln>
              <a:solidFill>
                <a:srgbClr val="0F3D38"/>
              </a:solidFill>
            </a:ln>
            <a:effectLst/>
          </c:spPr>
          <c:invertIfNegative val="0"/>
          <c:dPt>
            <c:idx val="6"/>
            <c:invertIfNegative val="0"/>
            <c:bubble3D val="0"/>
            <c:spPr>
              <a:noFill/>
              <a:ln>
                <a:noFill/>
              </a:ln>
              <a:effectLst/>
            </c:spPr>
            <c:extLst>
              <c:ext xmlns:c16="http://schemas.microsoft.com/office/drawing/2014/chart" uri="{C3380CC4-5D6E-409C-BE32-E72D297353CC}">
                <c16:uniqueId val="{00000001-A33B-473E-8A9C-5EAC2E4E75B8}"/>
              </c:ext>
            </c:extLst>
          </c:dPt>
          <c:dPt>
            <c:idx val="7"/>
            <c:invertIfNegative val="0"/>
            <c:bubble3D val="0"/>
            <c:spPr>
              <a:noFill/>
              <a:ln>
                <a:noFill/>
              </a:ln>
              <a:effectLst/>
            </c:spPr>
            <c:extLst>
              <c:ext xmlns:c16="http://schemas.microsoft.com/office/drawing/2014/chart" uri="{C3380CC4-5D6E-409C-BE32-E72D297353CC}">
                <c16:uniqueId val="{00000001-4CFB-4B35-8E6F-2CFBB0B09381}"/>
              </c:ext>
            </c:extLst>
          </c:dPt>
          <c:cat>
            <c:strRef>
              <c:f>'T.D. OPRTND'!$F$4:$F$10</c:f>
              <c:strCache>
                <c:ptCount val="7"/>
                <c:pt idx="0">
                  <c:v>MERCADO</c:v>
                </c:pt>
                <c:pt idx="1">
                  <c:v>SOCIAL</c:v>
                </c:pt>
                <c:pt idx="2">
                  <c:v>AVANCES </c:v>
                </c:pt>
                <c:pt idx="3">
                  <c:v>LINEAMIENTOS</c:v>
                </c:pt>
                <c:pt idx="4">
                  <c:v>RELACIONAMIENTO</c:v>
                </c:pt>
                <c:pt idx="5">
                  <c:v>PROCESO GESTIÓN DOCUMENTAL</c:v>
                </c:pt>
                <c:pt idx="6">
                  <c:v>Total general</c:v>
                </c:pt>
              </c:strCache>
            </c:strRef>
          </c:cat>
          <c:val>
            <c:numRef>
              <c:f>'T.D. OPRTND'!$G$4:$G$11</c:f>
              <c:numCache>
                <c:formatCode>General</c:formatCode>
                <c:ptCount val="8"/>
                <c:pt idx="0">
                  <c:v>53</c:v>
                </c:pt>
                <c:pt idx="1">
                  <c:v>31</c:v>
                </c:pt>
                <c:pt idx="2">
                  <c:v>29</c:v>
                </c:pt>
                <c:pt idx="3">
                  <c:v>25</c:v>
                </c:pt>
                <c:pt idx="4">
                  <c:v>22</c:v>
                </c:pt>
                <c:pt idx="5">
                  <c:v>4</c:v>
                </c:pt>
                <c:pt idx="6">
                  <c:v>164</c:v>
                </c:pt>
                <c:pt idx="7">
                  <c:v>164</c:v>
                </c:pt>
              </c:numCache>
            </c:numRef>
          </c:val>
          <c:extLst>
            <c:ext xmlns:c16="http://schemas.microsoft.com/office/drawing/2014/chart" uri="{C3380CC4-5D6E-409C-BE32-E72D297353CC}">
              <c16:uniqueId val="{00000000-1889-47D9-AA35-7149BDB7DC73}"/>
            </c:ext>
          </c:extLst>
        </c:ser>
        <c:ser>
          <c:idx val="1"/>
          <c:order val="1"/>
          <c:tx>
            <c:strRef>
              <c:f>'T.D. OPRTND'!$H$3</c:f>
              <c:strCache>
                <c:ptCount val="1"/>
                <c:pt idx="0">
                  <c:v>RELATIVO</c:v>
                </c:pt>
              </c:strCache>
            </c:strRef>
          </c:tx>
          <c:spPr>
            <a:ln w="28575" cap="rnd">
              <a:noFill/>
              <a:round/>
            </a:ln>
            <a:effectLst/>
          </c:spPr>
          <c:invertIfNegative val="0"/>
          <c:val>
            <c:numRef>
              <c:f>'T.D. OPRTND'!$H$4:$H$10</c:f>
              <c:numCache>
                <c:formatCode>0.0%</c:formatCode>
                <c:ptCount val="7"/>
                <c:pt idx="0">
                  <c:v>0.32317073170731708</c:v>
                </c:pt>
                <c:pt idx="1">
                  <c:v>0.18902439024390244</c:v>
                </c:pt>
                <c:pt idx="2">
                  <c:v>0.17682926829268292</c:v>
                </c:pt>
                <c:pt idx="3">
                  <c:v>0.1524390243902439</c:v>
                </c:pt>
                <c:pt idx="4">
                  <c:v>0.13414634146341464</c:v>
                </c:pt>
                <c:pt idx="5">
                  <c:v>2.4390243902439025E-2</c:v>
                </c:pt>
              </c:numCache>
            </c:numRef>
          </c:val>
          <c:extLst>
            <c:ext xmlns:c16="http://schemas.microsoft.com/office/drawing/2014/chart" uri="{C3380CC4-5D6E-409C-BE32-E72D297353CC}">
              <c16:uniqueId val="{00000001-1889-47D9-AA35-7149BDB7DC73}"/>
            </c:ext>
          </c:extLst>
        </c:ser>
        <c:dLbls>
          <c:showLegendKey val="0"/>
          <c:showVal val="0"/>
          <c:showCatName val="0"/>
          <c:showSerName val="0"/>
          <c:showPercent val="0"/>
          <c:showBubbleSize val="0"/>
        </c:dLbls>
        <c:gapWidth val="219"/>
        <c:axId val="-1413128928"/>
        <c:axId val="-1413128384"/>
      </c:barChart>
      <c:lineChart>
        <c:grouping val="standard"/>
        <c:varyColors val="0"/>
        <c:ser>
          <c:idx val="2"/>
          <c:order val="2"/>
          <c:tx>
            <c:strRef>
              <c:f>'T.D. OPRTND'!$I$3</c:f>
              <c:strCache>
                <c:ptCount val="1"/>
                <c:pt idx="0">
                  <c:v>ACUMULADA</c:v>
                </c:pt>
              </c:strCache>
            </c:strRef>
          </c:tx>
          <c:spPr>
            <a:ln w="28575" cap="rnd">
              <a:solidFill>
                <a:schemeClr val="accent3"/>
              </a:solidFill>
              <a:round/>
            </a:ln>
            <a:effectLst/>
          </c:spPr>
          <c:marker>
            <c:symbol val="none"/>
          </c:marker>
          <c:dLbls>
            <c:dLbl>
              <c:idx val="2"/>
              <c:layout>
                <c:manualLayout>
                  <c:x val="-9.6935953728423934E-3"/>
                  <c:y val="1.31194315050751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CFB-4B35-8E6F-2CFBB0B09381}"/>
                </c:ext>
              </c:extLst>
            </c:dLbl>
            <c:spPr>
              <a:noFill/>
              <a:ln>
                <a:noFill/>
              </a:ln>
              <a:effectLst/>
            </c:spPr>
            <c:txPr>
              <a:bodyPr wrap="square" lIns="38100" tIns="19050" rIns="38100" bIns="19050" anchor="ctr">
                <a:spAutoFit/>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'T.D. OPRTND'!$I$4:$I$10</c:f>
              <c:numCache>
                <c:formatCode>0.0%</c:formatCode>
                <c:ptCount val="7"/>
                <c:pt idx="0">
                  <c:v>0.32317073170731708</c:v>
                </c:pt>
                <c:pt idx="1">
                  <c:v>0.51219512195121952</c:v>
                </c:pt>
                <c:pt idx="2">
                  <c:v>0.68902439024390238</c:v>
                </c:pt>
                <c:pt idx="3">
                  <c:v>0.84146341463414631</c:v>
                </c:pt>
                <c:pt idx="4">
                  <c:v>0.97560975609756095</c:v>
                </c:pt>
                <c:pt idx="5">
                  <c:v>1</c:v>
                </c:pt>
              </c:numCache>
            </c:numRef>
          </c:val>
          <c:smooth val="0"/>
          <c:extLst>
            <c:ext xmlns:c16="http://schemas.microsoft.com/office/drawing/2014/chart" uri="{C3380CC4-5D6E-409C-BE32-E72D297353CC}">
              <c16:uniqueId val="{00000002-1889-47D9-AA35-7149BDB7DC73}"/>
            </c:ext>
          </c:extLst>
        </c:ser>
        <c:dLbls>
          <c:showLegendKey val="0"/>
          <c:showVal val="0"/>
          <c:showCatName val="0"/>
          <c:showSerName val="0"/>
          <c:showPercent val="0"/>
          <c:showBubbleSize val="0"/>
        </c:dLbls>
        <c:marker val="1"/>
        <c:smooth val="0"/>
        <c:axId val="593087600"/>
        <c:axId val="1020087088"/>
      </c:lineChart>
      <c:catAx>
        <c:axId val="-1413128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ES" sz="900" b="0" i="0" u="none" strike="noStrike" kern="1200" baseline="0">
                <a:solidFill>
                  <a:schemeClr val="tx1">
                    <a:lumMod val="65000"/>
                    <a:lumOff val="35000"/>
                  </a:schemeClr>
                </a:solidFill>
                <a:latin typeface="+mn-lt"/>
                <a:ea typeface="+mn-ea"/>
                <a:cs typeface="+mn-cs"/>
              </a:defRPr>
            </a:pPr>
            <a:endParaRPr lang="es-CO"/>
          </a:p>
        </c:txPr>
        <c:crossAx val="-1413128384"/>
        <c:crosses val="autoZero"/>
        <c:auto val="1"/>
        <c:lblAlgn val="ctr"/>
        <c:lblOffset val="100"/>
        <c:noMultiLvlLbl val="0"/>
      </c:catAx>
      <c:valAx>
        <c:axId val="-1413128384"/>
        <c:scaling>
          <c:orientation val="minMax"/>
        </c:scaling>
        <c:delete val="0"/>
        <c:axPos val="l"/>
        <c:majorGridlines>
          <c:spPr>
            <a:ln w="6350"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ES" sz="900" b="0" i="0" u="none" strike="noStrike" kern="1200" baseline="0">
                <a:solidFill>
                  <a:schemeClr val="tx1">
                    <a:lumMod val="95000"/>
                    <a:lumOff val="5000"/>
                  </a:schemeClr>
                </a:solidFill>
                <a:latin typeface="+mn-lt"/>
                <a:ea typeface="+mn-ea"/>
                <a:cs typeface="+mn-cs"/>
              </a:defRPr>
            </a:pPr>
            <a:endParaRPr lang="es-CO"/>
          </a:p>
        </c:txPr>
        <c:crossAx val="-1413128928"/>
        <c:crosses val="autoZero"/>
        <c:crossBetween val="between"/>
      </c:valAx>
      <c:valAx>
        <c:axId val="1020087088"/>
        <c:scaling>
          <c:orientation val="minMax"/>
        </c:scaling>
        <c:delete val="0"/>
        <c:axPos val="r"/>
        <c:numFmt formatCode="0.0%" sourceLinked="1"/>
        <c:majorTickMark val="out"/>
        <c:minorTickMark val="none"/>
        <c:tickLblPos val="nextTo"/>
        <c:crossAx val="593087600"/>
        <c:crosses val="max"/>
        <c:crossBetween val="between"/>
      </c:valAx>
      <c:catAx>
        <c:axId val="593087600"/>
        <c:scaling>
          <c:orientation val="minMax"/>
        </c:scaling>
        <c:delete val="1"/>
        <c:axPos val="b"/>
        <c:majorTickMark val="out"/>
        <c:minorTickMark val="none"/>
        <c:tickLblPos val="nextTo"/>
        <c:crossAx val="1020087088"/>
        <c:crosses val="autoZero"/>
        <c:auto val="1"/>
        <c:lblAlgn val="ctr"/>
        <c:lblOffset val="100"/>
        <c:noMultiLvlLbl val="0"/>
      </c:catAx>
      <c:dTable>
        <c:showHorzBorder val="1"/>
        <c:showVertBorder val="1"/>
        <c:showOutline val="1"/>
        <c:showKeys val="0"/>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ES" sz="800" b="1" i="0" u="none" strike="noStrike" kern="1200" baseline="0">
                <a:solidFill>
                  <a:schemeClr val="tx1">
                    <a:lumMod val="95000"/>
                    <a:lumOff val="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lang="es-ES"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rgbClr val="002060"/>
      </a:solidFill>
      <a:round/>
    </a:ln>
    <a:effectLst/>
  </c:spPr>
  <c:txPr>
    <a:bodyPr/>
    <a:lstStyle/>
    <a:p>
      <a:pPr>
        <a:defRPr/>
      </a:pPr>
      <a:endParaRPr lang="es-CO"/>
    </a:p>
  </c:txPr>
  <c:printSettings>
    <c:headerFooter/>
    <c:pageMargins b="0.75000000000000144" l="0.70000000000000062" r="0.70000000000000062" t="0.75000000000000144"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9</xdr:col>
      <xdr:colOff>161923</xdr:colOff>
      <xdr:row>1</xdr:row>
      <xdr:rowOff>95248</xdr:rowOff>
    </xdr:from>
    <xdr:to>
      <xdr:col>18</xdr:col>
      <xdr:colOff>736022</xdr:colOff>
      <xdr:row>20</xdr:row>
      <xdr:rowOff>190499</xdr:rowOff>
    </xdr:to>
    <xdr:graphicFrame macro="">
      <xdr:nvGraphicFramePr>
        <xdr:cNvPr id="2" name="Gráfico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57093</xdr:colOff>
      <xdr:row>3</xdr:row>
      <xdr:rowOff>109773</xdr:rowOff>
    </xdr:from>
    <xdr:to>
      <xdr:col>13</xdr:col>
      <xdr:colOff>57093</xdr:colOff>
      <xdr:row>13</xdr:row>
      <xdr:rowOff>156955</xdr:rowOff>
    </xdr:to>
    <xdr:cxnSp macro="">
      <xdr:nvCxnSpPr>
        <xdr:cNvPr id="6" name="Conector recto 5">
          <a:extLst>
            <a:ext uri="{FF2B5EF4-FFF2-40B4-BE49-F238E27FC236}">
              <a16:creationId xmlns:a16="http://schemas.microsoft.com/office/drawing/2014/main" id="{00000000-0008-0000-0200-000006000000}"/>
            </a:ext>
          </a:extLst>
        </xdr:cNvPr>
        <xdr:cNvCxnSpPr/>
      </xdr:nvCxnSpPr>
      <xdr:spPr>
        <a:xfrm>
          <a:off x="17998729" y="715909"/>
          <a:ext cx="0" cy="2229273"/>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c:userShapes xmlns:c="http://schemas.openxmlformats.org/drawingml/2006/chart">
  <cdr:relSizeAnchor xmlns:cdr="http://schemas.openxmlformats.org/drawingml/2006/chartDrawing">
    <cdr:from>
      <cdr:x>0.11353</cdr:x>
      <cdr:y>0.28516</cdr:y>
    </cdr:from>
    <cdr:to>
      <cdr:x>0.94667</cdr:x>
      <cdr:y>0.28601</cdr:y>
    </cdr:to>
    <cdr:cxnSp macro="">
      <cdr:nvCxnSpPr>
        <cdr:cNvPr id="3" name="Conector recto 2">
          <a:extLst xmlns:a="http://schemas.openxmlformats.org/drawingml/2006/main">
            <a:ext uri="{FF2B5EF4-FFF2-40B4-BE49-F238E27FC236}">
              <a16:creationId xmlns:a16="http://schemas.microsoft.com/office/drawing/2014/main" id="{5C27ABEC-E003-4D30-B909-6EC9EFFF5394}"/>
            </a:ext>
          </a:extLst>
        </cdr:cNvPr>
        <cdr:cNvCxnSpPr/>
      </cdr:nvCxnSpPr>
      <cdr:spPr>
        <a:xfrm xmlns:a="http://schemas.openxmlformats.org/drawingml/2006/main" flipH="1" flipV="1">
          <a:off x="843751" y="1123507"/>
          <a:ext cx="6192000" cy="3349"/>
        </a:xfrm>
        <a:prstGeom xmlns:a="http://schemas.openxmlformats.org/drawingml/2006/main" prst="line">
          <a:avLst/>
        </a:prstGeom>
        <a:ln xmlns:a="http://schemas.openxmlformats.org/drawingml/2006/main">
          <a:solidFill>
            <a:srgbClr val="FF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xml><?xml version="1.0" encoding="utf-8"?>
<xdr:wsDr xmlns:xdr="http://schemas.openxmlformats.org/drawingml/2006/spreadsheetDrawing" xmlns:a="http://schemas.openxmlformats.org/drawingml/2006/main">
  <xdr:twoCellAnchor>
    <xdr:from>
      <xdr:col>9</xdr:col>
      <xdr:colOff>480320</xdr:colOff>
      <xdr:row>1</xdr:row>
      <xdr:rowOff>94028</xdr:rowOff>
    </xdr:from>
    <xdr:to>
      <xdr:col>18</xdr:col>
      <xdr:colOff>48845</xdr:colOff>
      <xdr:row>22</xdr:row>
      <xdr:rowOff>24423</xdr:rowOff>
    </xdr:to>
    <xdr:graphicFrame macro="">
      <xdr:nvGraphicFramePr>
        <xdr:cNvPr id="2" name="Gráfico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485612</xdr:colOff>
      <xdr:row>7</xdr:row>
      <xdr:rowOff>164693</xdr:rowOff>
    </xdr:from>
    <xdr:to>
      <xdr:col>17</xdr:col>
      <xdr:colOff>240817</xdr:colOff>
      <xdr:row>7</xdr:row>
      <xdr:rowOff>164693</xdr:rowOff>
    </xdr:to>
    <xdr:cxnSp macro="">
      <xdr:nvCxnSpPr>
        <xdr:cNvPr id="4" name="Conector recto 3">
          <a:extLst>
            <a:ext uri="{FF2B5EF4-FFF2-40B4-BE49-F238E27FC236}">
              <a16:creationId xmlns:a16="http://schemas.microsoft.com/office/drawing/2014/main" id="{00000000-0008-0000-0400-000004000000}"/>
            </a:ext>
          </a:extLst>
        </xdr:cNvPr>
        <xdr:cNvCxnSpPr/>
      </xdr:nvCxnSpPr>
      <xdr:spPr>
        <a:xfrm flipH="1">
          <a:off x="9497727" y="1573090"/>
          <a:ext cx="5112000"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199130</xdr:colOff>
      <xdr:row>3</xdr:row>
      <xdr:rowOff>68058</xdr:rowOff>
    </xdr:from>
    <xdr:to>
      <xdr:col>14</xdr:col>
      <xdr:colOff>199130</xdr:colOff>
      <xdr:row>16</xdr:row>
      <xdr:rowOff>85327</xdr:rowOff>
    </xdr:to>
    <xdr:cxnSp macro="">
      <xdr:nvCxnSpPr>
        <xdr:cNvPr id="7" name="Conector recto 6">
          <a:extLst>
            <a:ext uri="{FF2B5EF4-FFF2-40B4-BE49-F238E27FC236}">
              <a16:creationId xmlns:a16="http://schemas.microsoft.com/office/drawing/2014/main" id="{00000000-0008-0000-0400-000007000000}"/>
            </a:ext>
          </a:extLst>
        </xdr:cNvPr>
        <xdr:cNvCxnSpPr/>
      </xdr:nvCxnSpPr>
      <xdr:spPr>
        <a:xfrm>
          <a:off x="16489322" y="662353"/>
          <a:ext cx="0" cy="256541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219940</xdr:colOff>
      <xdr:row>2</xdr:row>
      <xdr:rowOff>181841</xdr:rowOff>
    </xdr:from>
    <xdr:to>
      <xdr:col>18</xdr:col>
      <xdr:colOff>181841</xdr:colOff>
      <xdr:row>25</xdr:row>
      <xdr:rowOff>69274</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0.10661</cdr:x>
      <cdr:y>0.30764</cdr:y>
    </cdr:from>
    <cdr:to>
      <cdr:x>0.92703</cdr:x>
      <cdr:y>0.31138</cdr:y>
    </cdr:to>
    <cdr:cxnSp macro="">
      <cdr:nvCxnSpPr>
        <cdr:cNvPr id="3" name="Conector recto 2">
          <a:extLst xmlns:a="http://schemas.openxmlformats.org/drawingml/2006/main">
            <a:ext uri="{FF2B5EF4-FFF2-40B4-BE49-F238E27FC236}">
              <a16:creationId xmlns:a16="http://schemas.microsoft.com/office/drawing/2014/main" id="{5BD4095C-13AF-433B-A335-818C105A7995}"/>
            </a:ext>
          </a:extLst>
        </cdr:cNvPr>
        <cdr:cNvCxnSpPr/>
      </cdr:nvCxnSpPr>
      <cdr:spPr>
        <a:xfrm xmlns:a="http://schemas.openxmlformats.org/drawingml/2006/main" flipH="1">
          <a:off x="727078" y="1374580"/>
          <a:ext cx="5595183" cy="16711"/>
        </a:xfrm>
        <a:prstGeom xmlns:a="http://schemas.openxmlformats.org/drawingml/2006/main" prst="line">
          <a:avLst/>
        </a:prstGeom>
        <a:ln xmlns:a="http://schemas.openxmlformats.org/drawingml/2006/main">
          <a:solidFill>
            <a:srgbClr val="FF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0.4154</cdr:x>
      <cdr:y>0.09107</cdr:y>
    </cdr:from>
    <cdr:to>
      <cdr:x>0.41544</cdr:x>
      <cdr:y>0.66484</cdr:y>
    </cdr:to>
    <cdr:cxnSp macro="">
      <cdr:nvCxnSpPr>
        <cdr:cNvPr id="5" name="Conector recto 4">
          <a:extLst xmlns:a="http://schemas.openxmlformats.org/drawingml/2006/main">
            <a:ext uri="{FF2B5EF4-FFF2-40B4-BE49-F238E27FC236}">
              <a16:creationId xmlns:a16="http://schemas.microsoft.com/office/drawing/2014/main" id="{A8407919-2A87-402F-8D2E-2CC59C52EB50}"/>
            </a:ext>
          </a:extLst>
        </cdr:cNvPr>
        <cdr:cNvCxnSpPr/>
      </cdr:nvCxnSpPr>
      <cdr:spPr>
        <a:xfrm xmlns:a="http://schemas.openxmlformats.org/drawingml/2006/main">
          <a:off x="2833002" y="406909"/>
          <a:ext cx="273" cy="2563657"/>
        </a:xfrm>
        <a:prstGeom xmlns:a="http://schemas.openxmlformats.org/drawingml/2006/main" prst="line">
          <a:avLst/>
        </a:prstGeom>
        <a:ln xmlns:a="http://schemas.openxmlformats.org/drawingml/2006/main">
          <a:solidFill>
            <a:srgbClr val="FF0000"/>
          </a:solidFill>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userShapes>
</file>

<file path=xl/drawings/drawing6.xml><?xml version="1.0" encoding="utf-8"?>
<xdr:wsDr xmlns:xdr="http://schemas.openxmlformats.org/drawingml/2006/spreadsheetDrawing" xmlns:a="http://schemas.openxmlformats.org/drawingml/2006/main">
  <xdr:twoCellAnchor>
    <xdr:from>
      <xdr:col>9</xdr:col>
      <xdr:colOff>423237</xdr:colOff>
      <xdr:row>1</xdr:row>
      <xdr:rowOff>132522</xdr:rowOff>
    </xdr:from>
    <xdr:to>
      <xdr:col>18</xdr:col>
      <xdr:colOff>115954</xdr:colOff>
      <xdr:row>22</xdr:row>
      <xdr:rowOff>165652</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407182</xdr:colOff>
      <xdr:row>3</xdr:row>
      <xdr:rowOff>114301</xdr:rowOff>
    </xdr:from>
    <xdr:to>
      <xdr:col>13</xdr:col>
      <xdr:colOff>407182</xdr:colOff>
      <xdr:row>16</xdr:row>
      <xdr:rowOff>155257</xdr:rowOff>
    </xdr:to>
    <xdr:cxnSp macro="">
      <xdr:nvCxnSpPr>
        <xdr:cNvPr id="4" name="Conector recto 3">
          <a:extLst>
            <a:ext uri="{FF2B5EF4-FFF2-40B4-BE49-F238E27FC236}">
              <a16:creationId xmlns:a16="http://schemas.microsoft.com/office/drawing/2014/main" id="{00000000-0008-0000-0500-000004000000}"/>
            </a:ext>
          </a:extLst>
        </xdr:cNvPr>
        <xdr:cNvCxnSpPr/>
      </xdr:nvCxnSpPr>
      <xdr:spPr>
        <a:xfrm>
          <a:off x="15961921" y="702366"/>
          <a:ext cx="0" cy="2583717"/>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c:userShapes xmlns:c="http://schemas.openxmlformats.org/drawingml/2006/chart">
  <cdr:relSizeAnchor xmlns:cdr="http://schemas.openxmlformats.org/drawingml/2006/chartDrawing">
    <cdr:from>
      <cdr:x>0.1229</cdr:x>
      <cdr:y>0.31053</cdr:y>
    </cdr:from>
    <cdr:to>
      <cdr:x>0.90876</cdr:x>
      <cdr:y>0.31053</cdr:y>
    </cdr:to>
    <cdr:cxnSp macro="">
      <cdr:nvCxnSpPr>
        <cdr:cNvPr id="3" name="Conector recto 2">
          <a:extLst xmlns:a="http://schemas.openxmlformats.org/drawingml/2006/main">
            <a:ext uri="{FF2B5EF4-FFF2-40B4-BE49-F238E27FC236}">
              <a16:creationId xmlns:a16="http://schemas.microsoft.com/office/drawing/2014/main" id="{05EE23E9-EBB8-4AB3-9F59-A3026FEE8357}"/>
            </a:ext>
          </a:extLst>
        </cdr:cNvPr>
        <cdr:cNvCxnSpPr/>
      </cdr:nvCxnSpPr>
      <cdr:spPr>
        <a:xfrm xmlns:a="http://schemas.openxmlformats.org/drawingml/2006/main" flipH="1">
          <a:off x="805056" y="1280850"/>
          <a:ext cx="5148000" cy="0"/>
        </a:xfrm>
        <a:prstGeom xmlns:a="http://schemas.openxmlformats.org/drawingml/2006/main" prst="line">
          <a:avLst/>
        </a:prstGeom>
        <a:ln xmlns:a="http://schemas.openxmlformats.org/drawingml/2006/main">
          <a:solidFill>
            <a:srgbClr val="FF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0.83057</cdr:x>
      <cdr:y>0.70374</cdr:y>
    </cdr:from>
    <cdr:to>
      <cdr:x>0.93299</cdr:x>
      <cdr:y>0.91551</cdr:y>
    </cdr:to>
    <cdr:sp macro="" textlink="">
      <cdr:nvSpPr>
        <cdr:cNvPr id="2" name="Rectángulo 1"/>
        <cdr:cNvSpPr/>
      </cdr:nvSpPr>
      <cdr:spPr>
        <a:xfrm xmlns:a="http://schemas.openxmlformats.org/drawingml/2006/main">
          <a:off x="5440848" y="2724978"/>
          <a:ext cx="670891" cy="819978"/>
        </a:xfrm>
        <a:prstGeom xmlns:a="http://schemas.openxmlformats.org/drawingml/2006/main" prst="rect">
          <a:avLst/>
        </a:prstGeom>
        <a:solidFill xmlns:a="http://schemas.openxmlformats.org/drawingml/2006/main">
          <a:schemeClr val="bg1"/>
        </a:solidFill>
        <a:ln xmlns:a="http://schemas.openxmlformats.org/drawingml/2006/main">
          <a:solidFill>
            <a:schemeClr val="bg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MX"/>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ANNA%20RODRIGUEZ%20LEE\Downloads\RIESGOS_INS%20(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ersonal/ypanqueva_ucundinamarca_edu_co/Documents/Documents/2025/MATRICES%20DOFA%20RIESGOS/DOFA%20INSTITUCIONAL%202024/DOFA_INST%20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FA%20CONSOLIDADO%202025%20-%2016-09-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UCE RIESGOS"/>
      <sheetName val="MAPA RIESGOS"/>
      <sheetName val="ACTUALIZACIONES"/>
      <sheetName val="ITEMS"/>
    </sheetNames>
    <sheetDataSet>
      <sheetData sheetId="0">
        <row r="4">
          <cell r="F4" t="str">
            <v>D9. No cumplimiento de los parámetros indicados para la evaluación docente.</v>
          </cell>
          <cell r="G4" t="str">
            <v>Incumplimiento en la realización de las actividades de evaluación por parte de evaluados y evaluadores en los plazos establecidos según cronograma.</v>
          </cell>
        </row>
        <row r="5">
          <cell r="F5" t="str">
            <v xml:space="preserve">D8 Falta compromiso del personal en la asistencia de los diferentes eventos programados por el proceso de Talento Humano </v>
          </cell>
          <cell r="G5" t="str">
            <v>Baja participación en las actividades de los programas de bienestar social laboral</v>
          </cell>
        </row>
        <row r="6">
          <cell r="F6" t="str">
            <v>D20. Fallas del contratista y/o supervisor durante la ejecución de la orden contractual o contrato</v>
          </cell>
          <cell r="G6" t="str">
            <v>Aumento en los resultados a proveedores evaluados o reevaluados por debajo de la calificación mínima esperada (CONFIABLE)</v>
          </cell>
        </row>
        <row r="7">
          <cell r="F7" t="str">
            <v xml:space="preserve">D25 Falta de continuidad en el contrato laboral; genera incertidumbre en los contratistas (traumatismo en los procesos) y deficiencia en la cobertura de personal responsable del SG-SST. </v>
          </cell>
          <cell r="G7" t="str">
            <v>No cumplimiento de las actividades propias del sistema de seguridad y salud en el trabajo.</v>
          </cell>
        </row>
        <row r="8">
          <cell r="F8" t="str">
            <v>D5 Falta de cobertura del SG-SST a todas la Sede, Seccionales, Extensiones, Granjas y Oficina de la Universidad.</v>
          </cell>
          <cell r="G8" t="str">
            <v>No cumplimiento de las actividades propias del sistema de seguridad y salud en el trabajo.</v>
          </cell>
        </row>
        <row r="9">
          <cell r="F9" t="str">
            <v xml:space="preserve">D26. Falta de compromiso de los funcionarios con las actividades de promoción y prevención realizadas por la oficina  de SG-SST. </v>
          </cell>
          <cell r="G9" t="str">
            <v>No cumplimiento de las actividades propias del sistema de seguridad y salud en el trabajo.</v>
          </cell>
        </row>
        <row r="10">
          <cell r="F10" t="str">
            <v>D16. No se cuenta con recursos redundantes que permitan una continuidad o un plan de Contingencia optimo en los servicios Tecnológicos Ofrecidos a las partes Interesadas.</v>
          </cell>
          <cell r="G10" t="str">
            <v>Pérdida de la disponibilidad de los servicios tecnológicos ofertados a la Comunidad Universitaria</v>
          </cell>
        </row>
        <row r="11">
          <cell r="F11" t="str">
            <v>D9. No asistencia de los funcionarios de la Universidad de Cundinamarca  a las socializaciones  suministradas por la Dirección de Sistemas y Tecnología.</v>
          </cell>
          <cell r="G11" t="str">
            <v>Pérdida de la disponibilidad de los servicios tecnológicos ofertados a la Comunidad Universitaria</v>
          </cell>
        </row>
        <row r="12">
          <cell r="F12" t="str">
            <v>D14. Deficiencias en el monitoreo de Servicios Tecnológicos utilizados a los usuarios Académicos y administrativos.</v>
          </cell>
          <cell r="G12" t="str">
            <v>Pérdida de la disponibilidad de los servicios tecnológicos ofertados a la Comunidad Universitaria</v>
          </cell>
        </row>
        <row r="13">
          <cell r="F13" t="str">
            <v>D15. Fortalecer la atención al detalle e interpretación de lineamientos en el equipo de trabajo.</v>
          </cell>
          <cell r="G13" t="str">
            <v xml:space="preserve">No identificar correctamente los hallazgos de proceso </v>
          </cell>
        </row>
        <row r="14">
          <cell r="F14" t="str">
            <v>D22. No seguir los lineamientos establecidos en los criterios de evaluación, para la ejecución de las auditorias.</v>
          </cell>
          <cell r="G14" t="str">
            <v xml:space="preserve">No identificar correctamente los hallazgos de proceso </v>
          </cell>
        </row>
        <row r="15">
          <cell r="F15" t="str">
            <v>D18.El modelo de contratación no permite fortaleza las competencias especificas en temas de control interno y/o auditoria de los profesionales de la oficina.</v>
          </cell>
          <cell r="G15" t="str">
            <v xml:space="preserve">No identificar correctamente los hallazgos de proceso </v>
          </cell>
        </row>
        <row r="16">
          <cell r="F16" t="str">
            <v xml:space="preserve">D14. Entrega de Información sin los parámetros establecidos de Confiabilidad, Veracidad, Calidad .( Firmas, Fechas, versiones actualizadas o cantidad de documentos entregables.) </v>
          </cell>
          <cell r="G16" t="str">
            <v xml:space="preserve">No identificar correctamente los hallazgos de proceso </v>
          </cell>
        </row>
        <row r="17">
          <cell r="F17" t="str">
            <v xml:space="preserve">A10. Afectación en la prestación normal del servicio por virus y pandemias. </v>
          </cell>
          <cell r="G17" t="str">
            <v xml:space="preserve">No identificar correctamente los hallazgos de proceso </v>
          </cell>
        </row>
        <row r="18">
          <cell r="F18" t="str">
            <v>D12. Malas practicas archivísticas por las condiciones inseguras en el manejo del mismo a falta de elementos de protección</v>
          </cell>
          <cell r="G18" t="str">
            <v>Demora en la respuesta de requerimientos a las partes interesadas por causa de factores externos</v>
          </cell>
        </row>
        <row r="19">
          <cell r="F19" t="str">
            <v>A6. Cumplimiento de la normatividad nacional, departamental y local por declaración de calamidad pública</v>
          </cell>
          <cell r="G19" t="str">
            <v>Demora en la respuesta de requerimientos a las partes interesadas por causa de factores externos</v>
          </cell>
        </row>
        <row r="20">
          <cell r="F20" t="str">
            <v>D13. Se generan reprocesos en las actividades articuladas con otros procesos</v>
          </cell>
          <cell r="G20" t="str">
            <v>Demora en la respuesta de requerimientos a las partes interesadas por causa de factores externos</v>
          </cell>
        </row>
        <row r="21">
          <cell r="F21" t="str">
            <v xml:space="preserve">D1. Inestabilidad laboral (renovación de los contratos) de algunos funcionarios adscritos a la oficina. </v>
          </cell>
          <cell r="G21" t="str">
            <v xml:space="preserve">Desinformación e incumplimiento en las actividades del proceso </v>
          </cell>
        </row>
        <row r="22">
          <cell r="F22" t="str">
            <v>D17. Falta mejorar la oportunidad y calidad en la prestación del servicio vía telefónica</v>
          </cell>
          <cell r="G22" t="str">
            <v xml:space="preserve">Desinformación e incumplimiento en las actividades del proceso </v>
          </cell>
        </row>
        <row r="23">
          <cell r="F23" t="str">
            <v>D8. Falta asegurar la gestión del conocimiento en el proceso</v>
          </cell>
          <cell r="G23" t="str">
            <v xml:space="preserve">Desinformación e incumplimiento en las actividades del proceso </v>
          </cell>
        </row>
        <row r="24">
          <cell r="F24" t="str">
            <v>D11. Falta restauración de la infraestructura (ventanilla) de la oficina sede Fusagasugá para facilitar la atención al público.</v>
          </cell>
          <cell r="G24" t="str">
            <v xml:space="preserve">Desinformación e incumplimiento en las actividades del proceso </v>
          </cell>
        </row>
        <row r="25">
          <cell r="F25" t="str">
            <v>D4. Dependencia de otras áreas para la ejecución de las actividades del proceso</v>
          </cell>
          <cell r="G25" t="str">
            <v xml:space="preserve">Desinformación e incumplimiento en las actividades del proceso </v>
          </cell>
        </row>
        <row r="26">
          <cell r="F26" t="str">
            <v>D13. Cruce de información por fallas en la plataforma institucional</v>
          </cell>
          <cell r="G26" t="str">
            <v xml:space="preserve">Desinformación e incumplimiento en las actividades del proceso </v>
          </cell>
        </row>
        <row r="27">
          <cell r="F27" t="str">
            <v>D10. El modelo y los tiempos de contratación de la universidad son dispendiosos.</v>
          </cell>
          <cell r="G27" t="str">
            <v xml:space="preserve">Desinformación e incumplimiento en las actividades del proceso </v>
          </cell>
        </row>
        <row r="28">
          <cell r="F28" t="str">
            <v xml:space="preserve">D6. Demora de la oficina de tesorería en cargar archivos planos de los pagos realizados por parte de los estudiantes y aspirantes. </v>
          </cell>
          <cell r="G28" t="str">
            <v>Incumplimiento  de acuerdo a las fechas establecidas en las actividades del Calendario Académico UCundinamarca</v>
          </cell>
        </row>
        <row r="29">
          <cell r="F29" t="str">
            <v>D14. Centralización de funciones y decisiones del proceso en la sede principal, que genera carga operativa en la misma y falta de compromiso en seccionales y extensiones</v>
          </cell>
          <cell r="G29" t="str">
            <v>Incumplimiento  de acuerdo a las fechas establecidas en las actividades del Calendario Académico UCundinamarca</v>
          </cell>
        </row>
        <row r="30">
          <cell r="F30" t="str">
            <v>D4. Los consejos de Facultad y las direcciones de programa no envían oportunamente a la oficina de Admisiones y Registro, las actas de consejo, actas de sustentación y vistos buenos, para iniciar el proceso de Revisión de carpeta y Novedades Académicas.</v>
          </cell>
          <cell r="G30" t="str">
            <v>Incumplimiento  de acuerdo a las fechas establecidas en las actividades del Calendario Académico UCundinamarca</v>
          </cell>
        </row>
        <row r="31">
          <cell r="F31" t="str">
            <v>D7. Falta de digitación oportuna de Notas por parte de los docentes de los diferentes programas Académicos.</v>
          </cell>
          <cell r="G31" t="str">
            <v>Incumplimiento  de acuerdo a las fechas establecidas en las actividades del Calendario Académico UCundinamarca</v>
          </cell>
        </row>
        <row r="32">
          <cell r="F32" t="str">
            <v>A5. Paros Estudiantiles</v>
          </cell>
          <cell r="G32" t="str">
            <v>Incumplimiento  de acuerdo a las fechas establecidas en las actividades del Calendario Académico UCundinamarca</v>
          </cell>
        </row>
        <row r="33">
          <cell r="F33" t="str">
            <v>D4. Falta de unificación de criterios para la interacción con los demás Procesos académicos y administrativos.</v>
          </cell>
          <cell r="G33" t="str">
            <v>No ejecución de las actividades planteadas en el proceso para el cumplimiento del Plan Rectoral</v>
          </cell>
        </row>
        <row r="34">
          <cell r="F34" t="str">
            <v>D6. Dificultad en la comunicación y visibilidad con seccionales y extensiones.</v>
          </cell>
          <cell r="G34" t="str">
            <v>No ejecución de las actividades planteadas en el proceso para el cumplimiento del Plan Rectoral</v>
          </cell>
        </row>
        <row r="35">
          <cell r="F35" t="str">
            <v>D7. Falta de articulación con todos los Procesos</v>
          </cell>
          <cell r="G35" t="str">
            <v>No ejecución de las actividades planteadas en el proceso para el cumplimiento del Plan Rectoral</v>
          </cell>
        </row>
        <row r="36">
          <cell r="F36" t="str">
            <v>D2. Falta fortalecer aspectos relacionados al cumplimiento de las políticas misionales</v>
          </cell>
          <cell r="G36" t="str">
            <v>No ejecución de las actividades planteadas en el proceso para el cumplimiento del Plan Rectoral</v>
          </cell>
        </row>
        <row r="37">
          <cell r="F37" t="str">
            <v>D11. Falta de actualización del portafolio de cursos y diplomados</v>
          </cell>
          <cell r="G37" t="str">
            <v>Probabilidad de ofertar programas de educación continuada con temas desactualizados</v>
          </cell>
        </row>
        <row r="38">
          <cell r="F38" t="str">
            <v>D2. Falta de Articulación con la Planeación Académica y políticas misionales que se desarrollan en la Institución</v>
          </cell>
          <cell r="G38" t="str">
            <v>Incumplimiento en el logro de las metas establecidas en el Plan de Acción y el Plan de Desarrollo</v>
          </cell>
        </row>
        <row r="39">
          <cell r="F39" t="str">
            <v>A7. Desconocimiento de las actividades y metas propias del proceso por parte de los Gestores Responsables</v>
          </cell>
          <cell r="G39" t="str">
            <v>Incumplimiento en el logro de las metas establecidas en el Plan de Acción y el Plan de Desarrollo</v>
          </cell>
        </row>
        <row r="40">
          <cell r="F40" t="str">
            <v>D5. Contratos de trabajo interrumpido.</v>
          </cell>
          <cell r="G40" t="str">
            <v>No cumplimiento de las metas del plan de acción.</v>
          </cell>
        </row>
        <row r="41">
          <cell r="F41" t="str">
            <v>D7. Falta de disponibilidad de tiempo de los procesos para los temas de calidad.</v>
          </cell>
          <cell r="G41" t="str">
            <v>No cumplimiento de las metas del plan de acción.</v>
          </cell>
        </row>
        <row r="42">
          <cell r="F42" t="str">
            <v>A9. Falta de estructuración de procesos nuevos.</v>
          </cell>
          <cell r="G42" t="str">
            <v>No cumplimiento de las metas del plan de acción.</v>
          </cell>
        </row>
        <row r="43">
          <cell r="F43" t="str">
            <v xml:space="preserve">D14. Inoportunidad en el suministro de la información y de tiempos establecidos para la producción del servicio requerido </v>
          </cell>
          <cell r="G43" t="str">
            <v>Posible incumplimiento de los requisitos de las solicitudes del SIS</v>
          </cell>
        </row>
        <row r="44">
          <cell r="F44" t="str">
            <v>A5. Carencia de una cultura de Planeación en las actividades.</v>
          </cell>
          <cell r="G44" t="str">
            <v>Incumplimiento en los tiempos de respuesta en los procesos de contratación directa</v>
          </cell>
        </row>
        <row r="45">
          <cell r="F45" t="str">
            <v>A6. Falta de articulación entre los procesos.</v>
          </cell>
          <cell r="G45" t="str">
            <v>Incumplimiento en los tiempos de respuesta en los procesos de contratación directa</v>
          </cell>
        </row>
        <row r="46">
          <cell r="F46" t="str">
            <v>D10. El Modelo y los tiempos de contratación  de la Universidad son ineficientes, sin unidad de criterio y dispendiosos afectando la continuidad del proceso.</v>
          </cell>
          <cell r="G46" t="str">
            <v>Incumplimiento en los tiempos de respuesta en los procesos de contratación directa</v>
          </cell>
        </row>
        <row r="47">
          <cell r="F47" t="str">
            <v>D1. No contar con los recursos económicos suficientes para la  ejecución de los proyectos tecnológicos que permitan la ejecución de actividades de la Dirección de Sistemas y Tecnología.</v>
          </cell>
          <cell r="G47" t="str">
            <v>No implementación de las actividades programadas y aprobadas del Sistema de Gestión de Seguridad de la Información.</v>
          </cell>
        </row>
        <row r="48">
          <cell r="F48" t="str">
            <v>D3. Falta de directrices estratégicas que permitan establecer la planeación para el desarrollo de la Política de Gobierno Digital, establecida por el Ministerio de Información y Comunicación - MinTic</v>
          </cell>
          <cell r="G48" t="str">
            <v>No implementación de las actividades programadas y aprobadas del Sistema de Gestión de Seguridad de la Información.</v>
          </cell>
        </row>
        <row r="49">
          <cell r="F49" t="str">
            <v>D4. Capacitación insuficiente para el Personal del área de Sistemas y Tecnología.</v>
          </cell>
          <cell r="G49" t="str">
            <v>No implementación de las actividades programadas y aprobadas del Sistema de Gestión de Seguridad de la Información.</v>
          </cell>
        </row>
        <row r="50">
          <cell r="F50" t="str">
            <v>D6. Falta de continuidad en la contratación del personal de la Dirección de Sistemas y Tecnología, lo que ocasiona un retraso  en el  normal desarrollo de las actividades programadas.</v>
          </cell>
          <cell r="G50" t="str">
            <v>No implementación de las actividades programadas y aprobadas del Sistema de Gestión de Seguridad de la Información.</v>
          </cell>
        </row>
        <row r="51">
          <cell r="F51" t="str">
            <v>D9. No asistencia de los funcionarios de la Universidad de Cundinamarca  a las socializaciones  suministradas por la Dirección de Sistemas y Tecnología.</v>
          </cell>
          <cell r="G51" t="str">
            <v>No implementación de las actividades programadas y aprobadas del Sistema de Gestión de Seguridad de la Información.</v>
          </cell>
        </row>
        <row r="52">
          <cell r="F52" t="str">
            <v>A15. Falta de interés por parte de administrativos y docentes a las actividades que desarrolla bienestar</v>
          </cell>
          <cell r="G52" t="str">
            <v>Disminución en los indicadores de participación por parte de los Administrativos y Docentes en los programas de Bienestar universitario</v>
          </cell>
        </row>
        <row r="53">
          <cell r="F53" t="str">
            <v>A13. Desconocimiento de las actividades que desarrolla Bienestar</v>
          </cell>
          <cell r="G53" t="str">
            <v>Disminución en los indicadores de participación por parte de los Administrativos y Docentes en los programas de Bienestar universitario</v>
          </cell>
        </row>
        <row r="54">
          <cell r="F54" t="str">
            <v>D7. Falta de restricción del personal ajeno a la oficina de Talento Humano y Dependencia significativa de otros procesos, que tardan la continuidad de las actividades de los diferentes procedimientos.</v>
          </cell>
          <cell r="G54" t="str">
            <v>Incumplimiento de los plazos para reportar a los entes de control la información requerida.</v>
          </cell>
        </row>
        <row r="55">
          <cell r="F55" t="str">
            <v>D5 Falta de cobertura del SG-SST a todas la Sede, Seccionales, Extensiones, Granjas y Oficina de la Universidad.</v>
          </cell>
          <cell r="G55" t="str">
            <v>Daños a la salud de los funcionarios  por no cumplimiento de las exigencias normativas en materia de seguridad y salud en el trabajo</v>
          </cell>
        </row>
        <row r="56">
          <cell r="F56" t="str">
            <v xml:space="preserve">D26 Falta de compromiso de los funcionarios con las actividades de promoción y prevención realizadas por la oficina  de SG-SST. </v>
          </cell>
          <cell r="G56" t="str">
            <v>Daños a la salud de los funcionarios  por no cumplimiento de las exigencias normativas en materia de seguridad y salud en el trabajo</v>
          </cell>
        </row>
        <row r="57">
          <cell r="F57" t="str">
            <v>D11. Incumplimiento de la normatividad legal vigente, relacionada con la afiliación del personal nuevo al sistema de seguridad social.</v>
          </cell>
          <cell r="G57" t="str">
            <v>Incumplimiento a la Normatividad legal vigente en la afiliación a seguridad social de los funcionarios.</v>
          </cell>
        </row>
        <row r="58">
          <cell r="F58" t="str">
            <v xml:space="preserve">A6. Disminución del presupuesto por el gobierno que afecta la eficaz y eficiente operación del proceso. </v>
          </cell>
          <cell r="G58" t="str">
            <v xml:space="preserve">Incumplimiento de los requerimientos de los Despachos Judiciales.  </v>
          </cell>
        </row>
        <row r="59">
          <cell r="F59" t="str">
            <v>D13. No hay un plan de capacitación para los contratistas en temas generales, específicos de cargo y en tema de inclusión.</v>
          </cell>
          <cell r="G59" t="str">
            <v xml:space="preserve">Incumplimiento de los requerimientos de los Despachos Judiciales.  </v>
          </cell>
        </row>
        <row r="60">
          <cell r="F60" t="str">
            <v xml:space="preserve">D12. Falta asegurar la gestión del conocimiento en el proceso. </v>
          </cell>
          <cell r="G60" t="str">
            <v xml:space="preserve">Incumplimiento de los requerimientos de los Despachos Judiciales.  </v>
          </cell>
        </row>
        <row r="61">
          <cell r="F61"/>
          <cell r="G61" t="str">
            <v xml:space="preserve">Incumplimiento de los requerimientos de los Despachos Judiciales.  </v>
          </cell>
        </row>
        <row r="62">
          <cell r="F62" t="str">
            <v>A2. Interrupción de términos que generan acumulación de actuaciones e incumplimiento normativo</v>
          </cell>
          <cell r="G62" t="str">
            <v>Incumplimiento de las actuaciones propias de la Dirección de Control Disciplinario en contra del personal administrativo, docente y estudiantil.</v>
          </cell>
        </row>
        <row r="63">
          <cell r="F63" t="str">
            <v>A3. Demora en las decisiones de segunda instancia.</v>
          </cell>
          <cell r="G63" t="str">
            <v>Incumplimiento de las actuaciones propias de la Dirección de Control Disciplinario en contra del personal administrativo, docente y estudiantil.</v>
          </cell>
        </row>
        <row r="64">
          <cell r="F64" t="str">
            <v xml:space="preserve">D1. Alta rotación de personal, lo que genera poco conocimiento de la entidad y sus procesos así como poco compromiso con el desarrollo de la gestión. </v>
          </cell>
          <cell r="G64" t="str">
            <v>Incumplimiento de las actuaciones propias de la Dirección de Control Disciplinario en contra del personal administrativo, docente y estudiantil.</v>
          </cell>
        </row>
        <row r="65">
          <cell r="F65" t="str">
            <v xml:space="preserve">D4. Falta de actualización y desconocimiento de normas al interior de la universidad. </v>
          </cell>
          <cell r="G65" t="str">
            <v>Incumplimiento de las actuaciones propias de la Dirección de Control Disciplinario en contra del personal administrativo, docente y estudiantil.</v>
          </cell>
        </row>
        <row r="66">
          <cell r="F66" t="str">
            <v xml:space="preserve">D1. Alta rotación de personal, lo que genera poco conocimiento de la entidad y sus procesos así como poco compromiso con el desarrollo de la gestión. </v>
          </cell>
          <cell r="G66" t="str">
            <v>Precluir investigaciones disciplinarias por vencimiento de los términos legales.</v>
          </cell>
        </row>
        <row r="67">
          <cell r="F67" t="str">
            <v>A2. Interrupción de términos que generan acumulación de actuaciones e incumplimiento normativo</v>
          </cell>
          <cell r="G67" t="str">
            <v>Precluir investigaciones disciplinarias por vencimiento de los términos legales.</v>
          </cell>
        </row>
        <row r="68">
          <cell r="F68" t="str">
            <v xml:space="preserve">A1. Falta de colaboración Interinstitucional, frente a la inoportunidad en la entrega de información por parte de las dependencias. </v>
          </cell>
          <cell r="G68" t="str">
            <v>Precluir investigaciones disciplinarias por vencimiento de los términos legales.</v>
          </cell>
        </row>
        <row r="69">
          <cell r="F69" t="str">
            <v>A3. Demora en las decisiones de segunda instancia.</v>
          </cell>
          <cell r="G69" t="str">
            <v>Precluir investigaciones disciplinarias por vencimiento de los términos legales.</v>
          </cell>
        </row>
        <row r="70">
          <cell r="F70" t="str">
            <v>A3. Desconocimiento de la Normatividad Legal vigente.</v>
          </cell>
          <cell r="G70" t="str">
            <v>Incumplimiento a la No aplicación de la Ley de Protección de Datos Personales</v>
          </cell>
        </row>
        <row r="71">
          <cell r="F71" t="str">
            <v>D4. Capacitación insuficiente para el Personal del área de Sistemas y Tecnología.</v>
          </cell>
          <cell r="G71" t="str">
            <v>Incumplimiento a la No aplicación de la Ley de Protección de Datos Personales</v>
          </cell>
        </row>
        <row r="72">
          <cell r="F72" t="str">
            <v>D11. No es suficiente la asignación del rubro presupuestal para la ejecución de las actividades.</v>
          </cell>
          <cell r="G72" t="str">
            <v>Incumplimiento a la No aplicación de la Ley de Protección de Datos Personales</v>
          </cell>
        </row>
        <row r="73">
          <cell r="F73" t="str">
            <v>D1. Falta adecuación del mobiliario y estanterías por falta de espacio para el correcto almacenamiento y conservación del archivo de la sede seccionales y extensiones.</v>
          </cell>
          <cell r="G73" t="str">
            <v>Falta de espacio físico en el archivo central para realizar la recepción de los documentos que ya perdieron la retención vigente</v>
          </cell>
        </row>
        <row r="74">
          <cell r="F74" t="str">
            <v>D18. Insuficiente espacio físico para la operación del proceso y la recepción del archivo</v>
          </cell>
          <cell r="G74" t="str">
            <v>Falta de espacio físico en el archivo central para realizar la recepción de los documentos que ya perdieron la retención vigente</v>
          </cell>
        </row>
        <row r="75">
          <cell r="F75" t="str">
            <v>D13. Se generan reprocesos en las actividades articuladas con otros procesos</v>
          </cell>
          <cell r="G75" t="str">
            <v>Falta de espacio físico en el archivo central para realizar la recepción de los documentos que ya perdieron la retención vigente</v>
          </cell>
        </row>
        <row r="76">
          <cell r="F76" t="str">
            <v>D5. Falta de oportunidad en el servicio de transporte para transferencias documentales.</v>
          </cell>
          <cell r="G76" t="str">
            <v>Falta de espacio físico en el archivo central para realizar la recepción de los documentos que ya perdieron la retención vigente</v>
          </cell>
        </row>
        <row r="77">
          <cell r="F77" t="str">
            <v>D3. Versiones iniciales de la documentación del SGC en papel.</v>
          </cell>
          <cell r="G77" t="str">
            <v>Incumplimiento a requerimientos legales por Perdida de versiones documentales históricas en papel y digital</v>
          </cell>
        </row>
        <row r="78">
          <cell r="F78" t="str">
            <v>A3. Exigibilidad de documentos por parte de los entes de control.</v>
          </cell>
          <cell r="G78" t="str">
            <v>Incumplimiento a requerimientos legales por Perdida de versiones documentales históricas en papel y digital</v>
          </cell>
        </row>
        <row r="79">
          <cell r="F79" t="str">
            <v>O11. Fortalecimiento de la inspección, vigilancia y control en Colombia.</v>
          </cell>
          <cell r="G79" t="str">
            <v>Incumplimiento a requerimientos legales por Perdida de versiones documentales históricas en papel y digital</v>
          </cell>
        </row>
        <row r="80">
          <cell r="F80" t="str">
            <v>D8. Alta rotación de facilitadores de temas de calidad en los procesos.</v>
          </cell>
          <cell r="G80" t="str">
            <v>Incumplimiento a requerimientos legales por Perdida de versiones documentales históricas en papel y digital</v>
          </cell>
        </row>
        <row r="81">
          <cell r="F81" t="str">
            <v>D17. El proceso de la contratación es ineficiente para la eficacia en los procesos misionales</v>
          </cell>
          <cell r="G81" t="str">
            <v>Alto índice de quejas y reclamos que deben ser resueltas</v>
          </cell>
        </row>
        <row r="82">
          <cell r="F82"/>
          <cell r="G82"/>
        </row>
        <row r="83">
          <cell r="F83" t="str">
            <v>D15. Protección, disponibilidad, custodia e integridad de la información física y digital en los programas académicos</v>
          </cell>
          <cell r="G83" t="str">
            <v>Posibles demandas o PQRS a causa del mal uso de los cursos o aulas virtuales para procesos académicos y administrativos por parte de los usuarios</v>
          </cell>
        </row>
        <row r="84">
          <cell r="F84" t="str">
            <v>D27. Estrategias para almacenamiento de los contenidos desarrollados en los cursos y aulas virtuales</v>
          </cell>
          <cell r="G84" t="str">
            <v>Posibles demandas o PQRS a causa del mal uso de los cursos o aulas virtuales para procesos académicos y administrativos por parte de los usuarios</v>
          </cell>
        </row>
        <row r="85">
          <cell r="F85" t="str">
            <v>A12. Generación de plagio en el contenido cargado en los cursos virtuales</v>
          </cell>
          <cell r="G85" t="str">
            <v>Posibles demandas o PQRS a causa del mal uso de los cursos o aulas virtuales para procesos académicos y administrativos por parte de los usuarios</v>
          </cell>
        </row>
        <row r="86">
          <cell r="F86" t="str">
            <v>D28. Retrasos en la entrega de los cursos o aulas virtuales a los programas académicos</v>
          </cell>
          <cell r="G86" t="str">
            <v>Posibles demandas o PQRS a causa del mal uso de los cursos o aulas virtuales para procesos académicos y administrativos por parte de los usuarios</v>
          </cell>
        </row>
        <row r="87">
          <cell r="F87" t="str">
            <v>D2. No hay suficiente capacidad instalada para atender las necesidades de la Universidad.</v>
          </cell>
          <cell r="G87" t="str">
            <v>Incumplimiento de la Normatividad vigente</v>
          </cell>
        </row>
        <row r="88">
          <cell r="F88" t="str">
            <v>D7. Falta de entrega oportuna de la información por parte de los procesos.</v>
          </cell>
          <cell r="G88" t="str">
            <v>Incumplimiento de la Normatividad vigente</v>
          </cell>
        </row>
        <row r="89">
          <cell r="F89" t="str">
            <v>D1. Manual de Contratación Desactualizado.</v>
          </cell>
          <cell r="G89" t="str">
            <v>Incumplimiento de los requisitos legales en materia de seguridad y salud en el trabajo en los procesos contractuales</v>
          </cell>
        </row>
        <row r="90">
          <cell r="F90" t="str">
            <v>D3. Carencia de articulación con el Sistema de Seguridad y Salud en el Trabajo - SST en Sede,  Seccionales y Extensiones.</v>
          </cell>
          <cell r="G90" t="str">
            <v>Incumplimiento de los requisitos legales en materia de seguridad y salud en el trabajo en los procesos contractuales</v>
          </cell>
        </row>
        <row r="91">
          <cell r="F91" t="str">
            <v>D4 Ubicación del archivo de hojas de vida del personal de termino fijo muy retirado de la oficina de Talento Humano. Baja seguridad del archivo de hojas de vida, tanto de personal de termino fijo como de docentes.</v>
          </cell>
          <cell r="G91" t="str">
            <v>Destrucción, perdida o robo parcial o total del archivo de hojas de vida y del archivo de acuerdos de gestión.</v>
          </cell>
        </row>
        <row r="92">
          <cell r="F92" t="str">
            <v xml:space="preserve">D3. En todas las seccionales y extensiones no se cuenta con las condiciones adecuadas para la conservación de los documentos. </v>
          </cell>
          <cell r="G92" t="str">
            <v>Pérdida de información de los archivos físicos  (historia académica de los estudiantes y graduados de la UCundinamarca)</v>
          </cell>
        </row>
        <row r="93">
          <cell r="F93" t="str">
            <v>A4. Fenómenos naturales como inundaciones e incendios</v>
          </cell>
          <cell r="G93" t="str">
            <v>Pérdida de información de los archivos físicos  (historia académica de los estudiantes y graduados de la UCundinamarca)</v>
          </cell>
        </row>
        <row r="94">
          <cell r="F94" t="str">
            <v>D1. Funciones asignadas mas no documentadas.</v>
          </cell>
          <cell r="G94" t="str">
            <v>Perdida de la documentación de las actividades del proceso.</v>
          </cell>
        </row>
        <row r="95">
          <cell r="F95" t="str">
            <v>D12.  El proceso aún no está sistematizado.</v>
          </cell>
          <cell r="G95" t="str">
            <v>Perdida de la documentación de las actividades del proceso.</v>
          </cell>
        </row>
        <row r="96">
          <cell r="F96" t="str">
            <v>D2. Alta Rotación de Personal.</v>
          </cell>
          <cell r="G96" t="str">
            <v>Pérdida de documentación de los expedientes contractuales</v>
          </cell>
        </row>
        <row r="97">
          <cell r="F97" t="str">
            <v>D3. Falta de sistematización, pues hay mucho uso de papel.</v>
          </cell>
          <cell r="G97" t="str">
            <v>Pérdida de documentación de los expedientes contractuales</v>
          </cell>
        </row>
        <row r="98">
          <cell r="F98" t="str">
            <v>D1. Los equipos tecnológicos presentan fallas técnicas.</v>
          </cell>
          <cell r="G98" t="str">
            <v>Pérdida de documentación de los expedientes contractuales</v>
          </cell>
        </row>
        <row r="99">
          <cell r="F99" t="str">
            <v>D1. Falta adecuación del mobiliario y estanterías por falta de espacio para el correcto almacenamiento y conservación del archivo de la sede seccionales y extensiones.</v>
          </cell>
          <cell r="G99" t="str">
            <v>Perdida de la documentación y la trazabilidad de la Información.</v>
          </cell>
        </row>
        <row r="100">
          <cell r="F100" t="str">
            <v>D6. Incumplimiento a la resolución 161 de Agosto de 2016,  la cual da la directriz para la radicación de documentos.</v>
          </cell>
          <cell r="G100" t="str">
            <v>Perdida de la documentación y la trazabilidad de la Información.</v>
          </cell>
        </row>
        <row r="101">
          <cell r="F101" t="str">
            <v>D12. Malas practicas archivísticas por las condiciones inseguras en el manejo del mismo a falta de elementos de protección</v>
          </cell>
          <cell r="G101" t="str">
            <v>Perdida de la documentación y la trazabilidad de la Información.</v>
          </cell>
        </row>
        <row r="102">
          <cell r="F102" t="str">
            <v xml:space="preserve">D3. Falta de sistematización en la Oficina.       </v>
          </cell>
          <cell r="G102" t="str">
            <v>Pérdida de la Información de la oficina</v>
          </cell>
        </row>
        <row r="103">
          <cell r="F103" t="str">
            <v>D5. Falta infraestructura para el desarrollo eficaz de las actividades del proceso.</v>
          </cell>
          <cell r="G103" t="str">
            <v>Pérdida de la Información de la oficina</v>
          </cell>
        </row>
        <row r="104">
          <cell r="F104" t="str">
            <v>D13. Falta de compromiso de los funcionarios contratados con la actualización de su historia laboral</v>
          </cell>
          <cell r="G104" t="str">
            <v>Desactualización de las historias laborales.</v>
          </cell>
        </row>
        <row r="105">
          <cell r="F105" t="str">
            <v>A1. Congestión Judicial que afecta el desarrollo y los tiempos oportunos de respuesta de la Universidad frente al procedimiento AJUP05.</v>
          </cell>
          <cell r="G105" t="str">
            <v xml:space="preserve">Respuesta inoportuna de la solicitud de conceptos y solicitudes de información requeridas  </v>
          </cell>
        </row>
        <row r="106">
          <cell r="F106" t="str">
            <v>D2. Alta Rotación de Personal.</v>
          </cell>
          <cell r="G106" t="str">
            <v xml:space="preserve">Respuesta inoportuna de la solicitud de conceptos y solicitudes de información requeridas  </v>
          </cell>
        </row>
        <row r="107">
          <cell r="F107" t="str">
            <v>D6. Se presentan reprocesos por le no acatamiento de los tiempos de operación por otras partes interesadas que solicitan apoyo a la dirección Jurídica.</v>
          </cell>
          <cell r="G107" t="str">
            <v xml:space="preserve">Respuesta inoportuna de la solicitud de conceptos y solicitudes de información requeridas  </v>
          </cell>
        </row>
        <row r="108">
          <cell r="F108" t="str">
            <v>D7. El no cumplimiento de los procesos o que estos no brinden soluciones agiles.</v>
          </cell>
          <cell r="G108" t="str">
            <v xml:space="preserve">Respuesta inoportuna de la solicitud de conceptos y solicitudes de información requeridas  </v>
          </cell>
        </row>
        <row r="109">
          <cell r="F109" t="str">
            <v>D10. No se cuenta con el personal suficiente para la ejecución normal de las actividades de la oficina de contabilidad.</v>
          </cell>
          <cell r="G109" t="str">
            <v>Actividades repetitivas al interior del área financiera, generando riesgo de demora en procesamiento de la información, la cual es insumo para los reportes oportunos a entes externos.</v>
          </cell>
        </row>
        <row r="110">
          <cell r="F110"/>
          <cell r="G110"/>
        </row>
        <row r="111">
          <cell r="F111" t="str">
            <v>D1. Dificultades para la obtención de información veraz, actualizada y confiable</v>
          </cell>
          <cell r="G111" t="str">
            <v>Publicar información no verídica y/o insuficiente</v>
          </cell>
        </row>
        <row r="112">
          <cell r="F112" t="str">
            <v>D4. Retrasos en la Información solicitada a los procesos</v>
          </cell>
          <cell r="G112" t="str">
            <v>Publicar información no verídica y/o insuficiente</v>
          </cell>
        </row>
        <row r="113">
          <cell r="F113"/>
          <cell r="G113" t="str">
            <v>Publicar información no verídica y/o insuficiente</v>
          </cell>
        </row>
        <row r="114">
          <cell r="F114" t="str">
            <v>D9. No contar con la información necesaria como elemento de entrada para la Revisión por la Dirección</v>
          </cell>
          <cell r="G114" t="str">
            <v>Publicar información no verídica y/o insuficiente</v>
          </cell>
        </row>
        <row r="115">
          <cell r="F115"/>
          <cell r="G115" t="str">
            <v>Publicar información no verídica y/o insuficiente</v>
          </cell>
        </row>
        <row r="116">
          <cell r="F116" t="str">
            <v>D7. Rotación de personal o sistema de vinculación del personal</v>
          </cell>
          <cell r="G116" t="str">
            <v>Publicar información no verídica y/o insuficiente</v>
          </cell>
        </row>
        <row r="117">
          <cell r="F117" t="str">
            <v>D3 - Falta de estímulos a la investigación</v>
          </cell>
          <cell r="G117" t="str">
            <v>Información sin calidad ni oportunidad</v>
          </cell>
        </row>
        <row r="118">
          <cell r="F118" t="str">
            <v>D4 - Pocos productos como resultados de Proyectos de investigación</v>
          </cell>
          <cell r="G118" t="str">
            <v>Información sin calidad ni oportunidad</v>
          </cell>
        </row>
        <row r="119">
          <cell r="F119" t="str">
            <v>D7 - Manejo de la información en físico</v>
          </cell>
          <cell r="G119" t="str">
            <v>Información sin calidad ni oportunidad</v>
          </cell>
        </row>
        <row r="120">
          <cell r="F120" t="str">
            <v>D8 - Contratos por tiempos cortos de Investigadores y personal administrativo.</v>
          </cell>
          <cell r="G120" t="str">
            <v>Información sin calidad ni oportunidad</v>
          </cell>
        </row>
        <row r="121">
          <cell r="F121" t="str">
            <v>D9 - Demora en los procesos administrativos y financieros para el desembolso de los recursos</v>
          </cell>
          <cell r="G121" t="str">
            <v>Información sin calidad ni oportunidad</v>
          </cell>
        </row>
        <row r="122">
          <cell r="F122" t="str">
            <v>D12 - No se reporta la evaluación de Desempeño de las Líneas, Grupos y Semilleros de Investigación por los responsables</v>
          </cell>
          <cell r="G122" t="str">
            <v>Información sin calidad ni oportunidad</v>
          </cell>
        </row>
        <row r="123">
          <cell r="F123" t="str">
            <v>D13 - No reportan las actualizaciones de integrantes, de grupos, semilleros y proyectos de investigación</v>
          </cell>
          <cell r="G123" t="str">
            <v>Información sin calidad ni oportunidad</v>
          </cell>
        </row>
        <row r="124">
          <cell r="F124" t="str">
            <v>D14 - No cumplimiento de lo pactado en el acta de compromiso de los proyectos de investigación y transferencias de resultados</v>
          </cell>
          <cell r="G124" t="str">
            <v>Información sin calidad ni oportunidad</v>
          </cell>
        </row>
        <row r="125">
          <cell r="F125" t="str">
            <v>D21- Realizar investigaciones con equipos sin mantenimiento y/o calibración</v>
          </cell>
          <cell r="G125" t="str">
            <v>Información sin calidad ni oportunidad</v>
          </cell>
        </row>
        <row r="126">
          <cell r="F126" t="str">
            <v>D22. Traslado de elementos devolutivos sin la debida comunicación con Almacén (ABSr037)</v>
          </cell>
          <cell r="G126" t="str">
            <v>Inconsistencias y/o diferencias entre el inventario físico y los registros en la base de datos de Almacén</v>
          </cell>
        </row>
        <row r="127">
          <cell r="F127" t="str">
            <v>A8. No informar oportunamente cuando se presentan casos de perdida y/o daños de elementos devolutivos</v>
          </cell>
          <cell r="G127" t="str">
            <v>Inconsistencias y/o diferencias entre el inventario físico y los registros en la base de datos de Almacén</v>
          </cell>
        </row>
        <row r="128">
          <cell r="F128" t="str">
            <v>D15. Falta de actualización en la base de datos de Inventarios</v>
          </cell>
          <cell r="G128" t="str">
            <v>Inconsistencias y/o diferencias entre el inventario físico y los registros en la base de datos de Almacén</v>
          </cell>
        </row>
        <row r="129">
          <cell r="F129" t="str">
            <v>A7. Falta de espacios físicos para el adecuado almacenaje del archivo documental y los elementos o productos con los que cuenta el proceso.</v>
          </cell>
          <cell r="G129" t="str">
            <v xml:space="preserve">Perdida de la información </v>
          </cell>
        </row>
        <row r="130">
          <cell r="F130" t="str">
            <v>D8. Personal Insuficiente y no remunerado de acuerdo a su perfil para las actividades del Proceso.</v>
          </cell>
          <cell r="G130" t="str">
            <v xml:space="preserve">Perdida de la información </v>
          </cell>
        </row>
        <row r="131">
          <cell r="F131"/>
          <cell r="G131" t="str">
            <v xml:space="preserve">Perdida de la información </v>
          </cell>
        </row>
        <row r="132">
          <cell r="F132" t="str">
            <v>D1. No contar con los recursos económicos suficientes para la  ejecución de los proyectos tecnológicos que permitan la ejecución de actividades de la Dirección de Sistemas y Tecnología.</v>
          </cell>
          <cell r="G132" t="str">
            <v>Pérdida de Disponibilidad, Integridad y Confidencialidad de la Información.</v>
          </cell>
        </row>
        <row r="133">
          <cell r="F133" t="str">
            <v>D4. Capacitación insuficiente para el Personal del área de Sistemas y Tecnología.</v>
          </cell>
          <cell r="G133" t="str">
            <v>Pérdida de Disponibilidad, Integridad y Confidencialidad de la Información.</v>
          </cell>
        </row>
        <row r="134">
          <cell r="F134" t="str">
            <v xml:space="preserve">D7. Desconocimiento por parte de terceros de las directrices trazadas por la Dirección de Sistemas y Tecnología para el desarrollo e implementación de nuevo software. </v>
          </cell>
          <cell r="G134" t="str">
            <v>Pérdida de Disponibilidad, Integridad y Confidencialidad de la Información.</v>
          </cell>
        </row>
        <row r="135">
          <cell r="F135" t="str">
            <v>D8. Requerimientos de desarrollo de software, con necesidades no documentadas ni establecidas en un procedimiento de calidad.</v>
          </cell>
          <cell r="G135" t="str">
            <v>Pérdida de Disponibilidad, Integridad y Confidencialidad de la Información.</v>
          </cell>
        </row>
        <row r="136">
          <cell r="F136" t="str">
            <v>D10. Falta de un plan de reposición de equipos de cómputo que cumplen su vida útil.</v>
          </cell>
          <cell r="G136" t="str">
            <v>Pérdida de Disponibilidad, Integridad y Confidencialidad de la Información.</v>
          </cell>
        </row>
        <row r="137">
          <cell r="F137" t="str">
            <v>D13. Falta de Documentación adecuada y actualizada en procesos críticos gestionados por personal de Contrato a termino Fijo.</v>
          </cell>
          <cell r="G137" t="str">
            <v>Pérdida de Disponibilidad, Integridad y Confidencialidad de la Información.</v>
          </cell>
        </row>
        <row r="138">
          <cell r="F138" t="str">
            <v>D15. Falta de masificación en el uso de herramientas para la gestión administrativa y académica.</v>
          </cell>
          <cell r="G138" t="str">
            <v>Pérdida de Disponibilidad, Integridad y Confidencialidad de la Información.</v>
          </cell>
        </row>
        <row r="139">
          <cell r="F139" t="str">
            <v>D16. No se cuenta con recursos redundantes que permitan una continuidad o un plan de Contingencia optimo en los servicios Tecnológicos Ofrecidos a las partes Interesadas.</v>
          </cell>
          <cell r="G139" t="str">
            <v>Pérdida de Disponibilidad, Integridad y Confidencialidad de la Información.</v>
          </cell>
        </row>
        <row r="140">
          <cell r="F140" t="str">
            <v>A4. Acceso fraudulento a sistemas informáticos de la Institución.</v>
          </cell>
          <cell r="G140" t="str">
            <v>Pérdida de Disponibilidad, Integridad y Confidencialidad de la Información.</v>
          </cell>
        </row>
        <row r="141">
          <cell r="F141" t="str">
            <v>A5. Mal uso de los servicios o recursos tecnológicos por parte de los usuarios finales.</v>
          </cell>
          <cell r="G141" t="str">
            <v>Pérdida de Disponibilidad, Integridad y Confidencialidad de la Información.</v>
          </cell>
        </row>
        <row r="142">
          <cell r="F142" t="str">
            <v>A6. Se presentan casos de vandalismo y delincuencia que alteran el orden público afectando el desarrollo de las actividades.</v>
          </cell>
          <cell r="G142" t="str">
            <v>Pérdida de Disponibilidad, Integridad y Confidencialidad de la Información.</v>
          </cell>
        </row>
        <row r="143">
          <cell r="F143" t="str">
            <v>A8. Ataques informáticos a la Infraestructura Tecnológica</v>
          </cell>
          <cell r="G143" t="str">
            <v>Pérdida de Disponibilidad, Integridad y Confidencialidad de la Información.</v>
          </cell>
        </row>
        <row r="144">
          <cell r="F144" t="str">
            <v>A9. Acceso Físicos a Centros de Datos sin los controles Adecuados Requeridos.</v>
          </cell>
          <cell r="G144" t="str">
            <v>Pérdida de Disponibilidad, Integridad y Confidencialidad de la Información.</v>
          </cell>
        </row>
        <row r="145">
          <cell r="F145" t="str">
            <v>D2. Demora en los tiempos de respuesta por parte de las dependencias</v>
          </cell>
          <cell r="G145" t="str">
            <v>No brindar información de manera clara, precisa y veraz a nivel institucional.</v>
          </cell>
        </row>
        <row r="146">
          <cell r="F146" t="str">
            <v>D5. Falta de claridad en las respuestas dadas por los procesos competentes</v>
          </cell>
          <cell r="G146" t="str">
            <v>No brindar información de manera clara, precisa y veraz a nivel institucional.</v>
          </cell>
        </row>
        <row r="147">
          <cell r="F147" t="str">
            <v>D10. El sistema no permite reclasificar las peticiones .</v>
          </cell>
          <cell r="G147" t="str">
            <v xml:space="preserve">No  veracidad en los resultados  en relación con el análisis de datos  que se obtienen de la plataforma con la información suministrada por los usuarios presentados en los informes </v>
          </cell>
        </row>
        <row r="148">
          <cell r="F148" t="str">
            <v xml:space="preserve">
D9. Dependencia de los usuarios al clasificar la solicitud.</v>
          </cell>
          <cell r="G148" t="str">
            <v xml:space="preserve">No  veracidad en los resultados  en relación con el análisis de datos  que se obtienen de la plataforma con la información suministrada por los usuarios presentados en los informes </v>
          </cell>
        </row>
        <row r="149">
          <cell r="F149" t="str">
            <v>D7. Falta  de articulación entre la planeación académica y administrativa en cuanto a la formulación de proyectos de inversión.</v>
          </cell>
          <cell r="G149" t="str">
            <v>Insuficiencia frente a espacios y elementos académicos (físicos y virtuales) (Incumplimiento características 24  y 26 del CNA).</v>
          </cell>
        </row>
        <row r="150">
          <cell r="F150" t="str">
            <v xml:space="preserve">D8. Cargue inoportuno de documentos en el repositorio institucional de la biblioteca en seccionales y extensiones. </v>
          </cell>
          <cell r="G150" t="str">
            <v>Insuficiencia frente a espacios y elementos académicos (físicos y virtuales) (Incumplimiento características 24  y 26 del CNA).</v>
          </cell>
        </row>
        <row r="151">
          <cell r="F151" t="str">
            <v xml:space="preserve">A10. Insuficiencia en el mercado de audiolibros y libros de cecografía para dotación de las bibliotecas. </v>
          </cell>
          <cell r="G151" t="str">
            <v>Insuficiencia frente a espacios y elementos académicos (físicos y virtuales) (Incumplimiento características 24  y 26 del CNA).</v>
          </cell>
        </row>
        <row r="152">
          <cell r="F152" t="str">
            <v>A5. La asignación  presupuestal por parte del gobierno es insuficiente y los tiempos no son acordes para el cumplimiento de las actividades del proceso.</v>
          </cell>
          <cell r="G152" t="str">
            <v>Insuficiencia frente a espacios y elementos académicos (físicos y virtuales) (Incumplimiento características 24  y 26 del CNA).</v>
          </cell>
        </row>
        <row r="153">
          <cell r="F153" t="str">
            <v>A2. Variación acelerada de las tendencias tecnológicas en los recursos de apoyo de la educación superior (Característica 26 - Lineamiento CNA).</v>
          </cell>
          <cell r="G153" t="str">
            <v>Insuficiencia frente a espacios y elementos académicos (físicos y virtuales) (Incumplimiento características 24  y 26 del CNA).</v>
          </cell>
        </row>
        <row r="154">
          <cell r="F154" t="str">
            <v>D5.Elementos académicos que no cuenten con las condiciones mínimas para su préstamo</v>
          </cell>
          <cell r="G154" t="str">
            <v>No disponibilidad de los elementos educativos y/o espacios académicos referente a:  capacidad instalada, mantenimiento de elementos educativos y calibraciones equipos  de investigación (Incumplimiento características 24  y 26 del CNA).</v>
          </cell>
        </row>
        <row r="155">
          <cell r="F155" t="str">
            <v>D7. Falta  de articulación entre la planeación académica y administrativa en cuanto a la formulación de proyectos de inversión.</v>
          </cell>
          <cell r="G155" t="str">
            <v>No disponibilidad de los elementos educativos y/o espacios académicos referente a:  capacidad instalada, mantenimiento de elementos educativos y calibraciones equipos  de investigación (Incumplimiento características 24  y 26 del CNA).</v>
          </cell>
        </row>
        <row r="156">
          <cell r="F156" t="str">
            <v>D15. El reporte no oportuno de los demás procesos (Investigación, Docencia) en cuanto a sus necesidades de recursos académicos tales como: Calibración de Equipos, Licenciamiento de Software y Recursos Bibliográficos.</v>
          </cell>
          <cell r="G156" t="str">
            <v>No disponibilidad de los elementos educativos y/o espacios académicos referente a:  capacidad instalada, mantenimiento de elementos educativos y calibraciones equipos  de investigación (Incumplimiento características 24  y 26 del CNA).</v>
          </cell>
        </row>
        <row r="157">
          <cell r="F157" t="str">
            <v>A2. Variación acelerada de las tendencias tecnológicas en los recursos de apoyo de la educación superior (Característica 26 - Lineamiento CNA).</v>
          </cell>
          <cell r="G157" t="str">
            <v>No disponibilidad de los elementos educativos y/o espacios académicos referente a:  capacidad instalada, mantenimiento de elementos educativos y calibraciones equipos  de investigación (Incumplimiento características 24  y 26 del CNA).</v>
          </cell>
        </row>
        <row r="158">
          <cell r="F158" t="str">
            <v>D16. Falta condiciones para el almacenamiento de químicos en laboratorios.</v>
          </cell>
          <cell r="G158" t="str">
            <v>No disponibilidad de los elementos educativos y/o espacios académicos referente a:  capacidad instalada, mantenimiento de elementos educativos y calibraciones equipos  de investigación (Incumplimiento características 24  y 26 del CNA).</v>
          </cell>
        </row>
        <row r="159">
          <cell r="F159"/>
          <cell r="G159" t="str">
            <v>No disponibilidad de los elementos educativos y/o espacios académicos referente a:  capacidad instalada, mantenimiento de elementos educativos y calibraciones equipos  de investigación (Incumplimiento características 24  y 26 del CNA).</v>
          </cell>
        </row>
        <row r="160">
          <cell r="F160" t="str">
            <v>D18. No se garantiza la disponibilidad de los espacios,  elementos recursos electrónicos (biblioteca) y software académicos, debido al alcance del proceso.</v>
          </cell>
          <cell r="G160" t="str">
            <v>No disponibilidad de los elementos educativos y/o espacios académicos referente a:  capacidad instalada, mantenimiento de elementos educativos y calibraciones equipos  de investigación (Incumplimiento características 24  y 26 del CNA).</v>
          </cell>
        </row>
        <row r="161">
          <cell r="F161" t="str">
            <v>D14.Falta de asignación de recursos económicos para garantizar el mantenimiento preventivo, correctivo y calibración.</v>
          </cell>
          <cell r="G161" t="str">
            <v>No disponibilidad de los elementos educativos y/o espacios académicos referente a:  capacidad instalada, mantenimiento de elementos educativos y calibraciones equipos  de investigación (Incumplimiento características 24  y 26 del CNA).</v>
          </cell>
        </row>
        <row r="162">
          <cell r="F162" t="str">
            <v>D3. Falta compromiso por parte de los gestores responsables en dar respuesta oportuna a la información requerida</v>
          </cell>
          <cell r="G162" t="str">
            <v>Registrar en la plataforma SACES de CONACES y/o SACES CNA documentos maestros o informes de autoevaluación incompletos de acuerdo a las condiciones de calidad requeridas por el MEN y CNA</v>
          </cell>
        </row>
        <row r="163">
          <cell r="F163"/>
          <cell r="G163" t="str">
            <v>Registrar en la plataforma SACES de CONACES y/o SACES CNA documentos maestros o informes de autoevaluación incompletos de acuerdo a las condiciones de calidad requeridas por el MEN y CNA</v>
          </cell>
        </row>
        <row r="164">
          <cell r="F164"/>
          <cell r="G164" t="str">
            <v>Registrar en la plataforma SACES de CONACES y/o SACES CNA documentos maestros o informes de autoevaluación incompletos de acuerdo a las condiciones de calidad requeridas por el MEN y CNA</v>
          </cell>
        </row>
        <row r="165">
          <cell r="F165"/>
          <cell r="G165" t="str">
            <v>Registrar en la plataforma SACES de CONACES y/o SACES CNA documentos maestros o informes de autoevaluación incompletos de acuerdo a las condiciones de calidad requeridas por el MEN y CNA</v>
          </cell>
        </row>
        <row r="166">
          <cell r="F166"/>
          <cell r="G166" t="str">
            <v>Registrar en la plataforma SACES de CONACES y/o SACES CNA documentos maestros o informes de autoevaluación incompletos de acuerdo a las condiciones de calidad requeridas por el MEN y CNA</v>
          </cell>
        </row>
        <row r="167">
          <cell r="F167" t="str">
            <v>D6. Falta estudio del contexto para la oferta de programas nuevos</v>
          </cell>
          <cell r="G167" t="str">
            <v>Registrar en la plataforma SACES de CONACES y/o SACES CNA documentos maestros o informes de autoevaluación incompletos de acuerdo a las condiciones de calidad requeridas por el MEN y CNA</v>
          </cell>
        </row>
        <row r="168">
          <cell r="F168" t="str">
            <v>D7. Falta estudio de impacto de los programas académicos en el contexto</v>
          </cell>
          <cell r="G168" t="str">
            <v>Registrar en la plataforma SACES de CONACES y/o SACES CNA documentos maestros o informes de autoevaluación incompletos de acuerdo a las condiciones de calidad requeridas por el MEN y CNA</v>
          </cell>
        </row>
        <row r="169">
          <cell r="F169" t="str">
            <v>D1. Falta de articulación entre los procesos</v>
          </cell>
          <cell r="G169" t="str">
            <v>Perdida del Registro Calificado y de Acreditación de Programas Académicos</v>
          </cell>
        </row>
        <row r="170">
          <cell r="F170" t="str">
            <v>D3. Falta compromiso por parte de los gestores responsables en dar respuesta oportuna a la información requerida</v>
          </cell>
          <cell r="G170" t="str">
            <v>Perdida del Registro Calificado y de Acreditación de Programas Académicos</v>
          </cell>
        </row>
        <row r="171">
          <cell r="F171" t="str">
            <v>D6. Falta estudio del contexto para la oferta de programas nuevos.</v>
          </cell>
          <cell r="G171" t="str">
            <v>Perdida del Registro Calificado y de Acreditación de Programas Académicos</v>
          </cell>
        </row>
        <row r="172">
          <cell r="F172" t="str">
            <v>D7 Falta estudio de impacto de los programas académicos en el contexto.</v>
          </cell>
          <cell r="G172" t="str">
            <v>Perdida del Registro Calificado y de Acreditación de Programas Académicos</v>
          </cell>
        </row>
        <row r="173">
          <cell r="F173" t="str">
            <v>D8. Currículos y planes de estudio que requieren actualización.</v>
          </cell>
          <cell r="G173" t="str">
            <v>Perdida de las condiciones y factores de Calidad (Pregrados, postgrados)</v>
          </cell>
        </row>
        <row r="174">
          <cell r="F174" t="str">
            <v>D2. Insuficiente seguimiento al proceso de evaluación de desempeño docente</v>
          </cell>
          <cell r="G174" t="str">
            <v>Perdida de las condiciones y factores de Calidad (Pregrados, postgrados)</v>
          </cell>
        </row>
        <row r="175">
          <cell r="F175" t="str">
            <v>D34. Deficiencias en los procesos de evaluación a docentes a causa de los tiempos de vinculación en la plataforma por el tipo de contratación (Postgrados)</v>
          </cell>
          <cell r="G175" t="str">
            <v>Perdida de las condiciones y factores de Calidad (Pregrados, postgrados)</v>
          </cell>
        </row>
        <row r="176">
          <cell r="F176" t="str">
            <v>D4. Carencia de estrategias para abordar los índices de repitencia y graduación oportuna</v>
          </cell>
          <cell r="G176" t="str">
            <v>Perdida de las condiciones y factores de Calidad (Pregrados, postgrados)</v>
          </cell>
        </row>
        <row r="177">
          <cell r="F177" t="str">
            <v>D25. Incumplimiento en el calendario institucional de la dirección de postgrados</v>
          </cell>
          <cell r="G177" t="str">
            <v>Perdida de las condiciones y factores de Calidad (Pregrados, postgrados)</v>
          </cell>
        </row>
        <row r="178">
          <cell r="F178"/>
          <cell r="G178" t="str">
            <v>Perdida de las condiciones y factores de Calidad (Pregrados, postgrados)</v>
          </cell>
        </row>
        <row r="179">
          <cell r="F179" t="str">
            <v>D5. No se cumple con el número requerido de profesores de planta</v>
          </cell>
          <cell r="G179" t="str">
            <v>Perdida de las condiciones y factores de Calidad (Pregrados, postgrados)</v>
          </cell>
        </row>
        <row r="180">
          <cell r="F180" t="str">
            <v>A15. Cumplimiento de la normatividad nacional, departamental y local por declaración de calamidad pública</v>
          </cell>
          <cell r="G180" t="str">
            <v>Perdida de las condiciones y factores de Calidad (Pregrados, postgrados)</v>
          </cell>
        </row>
        <row r="181">
          <cell r="F181"/>
          <cell r="G181" t="str">
            <v>Perdida de las condiciones y factores de Calidad (Pregrados, postgrados)</v>
          </cell>
        </row>
        <row r="182">
          <cell r="F182" t="str">
            <v>D17. La contratación de docentes es inadecuada para la eficacia en los procesos misionales</v>
          </cell>
          <cell r="G182" t="str">
            <v>Perdida de las condiciones y factores de Calidad (Pregrados, postgrados)</v>
          </cell>
        </row>
        <row r="183">
          <cell r="F183" t="str">
            <v>D2 - Falta de espacios académicos para la investigación</v>
          </cell>
          <cell r="G183" t="str">
            <v>Tomar decisiones no pertinentes a los procesos de investigación</v>
          </cell>
        </row>
        <row r="184">
          <cell r="F184" t="str">
            <v>D3 - Falta de estímulos a la investigación</v>
          </cell>
          <cell r="G184" t="str">
            <v>Tomar decisiones no pertinentes a los procesos de investigación</v>
          </cell>
        </row>
        <row r="185">
          <cell r="F185" t="str">
            <v>D4 - Pocos productos como resultados de Proyectos de investigación</v>
          </cell>
          <cell r="G185" t="str">
            <v>Tomar decisiones no pertinentes a los procesos de investigación</v>
          </cell>
        </row>
        <row r="186">
          <cell r="F186" t="str">
            <v>D6 - No cumplir con los tiempos  establecidos para la revisión de solicitudes ante el CDI</v>
          </cell>
          <cell r="G186" t="str">
            <v>Tomar decisiones no pertinentes a los procesos de investigación</v>
          </cell>
        </row>
        <row r="187">
          <cell r="F187" t="str">
            <v>D8 - Contratos por tiempos cortos de Investigadores y personal administrativo.</v>
          </cell>
          <cell r="G187" t="str">
            <v>Tomar decisiones no pertinentes a los procesos de investigación</v>
          </cell>
        </row>
        <row r="188">
          <cell r="F188" t="str">
            <v>D9 - Demora en los procesos administrativos y financieros para el desembolso de los recursos</v>
          </cell>
          <cell r="G188" t="str">
            <v>Tomar decisiones no pertinentes a los procesos de investigación</v>
          </cell>
        </row>
        <row r="189">
          <cell r="F189" t="str">
            <v>D12 - No se reporta la evaluación de Desempeño de las Líneas, Grupos y Semilleros de Investigación por los responsables</v>
          </cell>
          <cell r="G189" t="str">
            <v>Tomar decisiones no pertinentes a los procesos de investigación</v>
          </cell>
        </row>
        <row r="190">
          <cell r="F190" t="str">
            <v>D13 - No reportan las actualizaciones de integrantes, de grupos, semilleros y proyectos de investigación</v>
          </cell>
          <cell r="G190" t="str">
            <v>Tomar decisiones no pertinentes a los procesos de investigación</v>
          </cell>
        </row>
        <row r="191">
          <cell r="F191" t="str">
            <v>D14 - No cumplimiento de lo pactado en el acta de compromiso de los proyectos de investigación y transferencias de resultados</v>
          </cell>
          <cell r="G191" t="str">
            <v>Tomar decisiones no pertinentes a los procesos de investigación</v>
          </cell>
        </row>
        <row r="192">
          <cell r="F192" t="str">
            <v>D2 - Falta de espacios académicos para la investigación</v>
          </cell>
          <cell r="G192" t="str">
            <v>No alcanzar los indicadores de investigación exigidos por entes institucionales (Colciencias - Ministerio Educación)</v>
          </cell>
        </row>
        <row r="193">
          <cell r="F193" t="str">
            <v>D3 - Falta de estímulos a la investigación</v>
          </cell>
          <cell r="G193" t="str">
            <v>No alcanzar los indicadores de investigación exigidos por entes institucionales (Colciencias - Ministerio Educación)</v>
          </cell>
        </row>
        <row r="194">
          <cell r="F194" t="str">
            <v>D4 - Pocos productos como resultados de Proyectos de investigación</v>
          </cell>
          <cell r="G194" t="str">
            <v>No alcanzar los indicadores de investigación exigidos por entes institucionales (Colciencias - Ministerio Educación)</v>
          </cell>
        </row>
        <row r="195">
          <cell r="F195" t="str">
            <v>D8 - Contratos por tiempos cortos de Investigadores y personal administrativo.</v>
          </cell>
          <cell r="G195" t="str">
            <v>No alcanzar los indicadores de investigación exigidos por entes institucionales (Colciencias - Ministerio Educación)</v>
          </cell>
        </row>
        <row r="196">
          <cell r="F196" t="str">
            <v>D9 - Demora en los procesos administrativos y financieros para el desembolso de los recursos</v>
          </cell>
          <cell r="G196" t="str">
            <v>No alcanzar los indicadores de investigación exigidos por entes institucionales (Colciencias - Ministerio Educación)</v>
          </cell>
        </row>
        <row r="197">
          <cell r="F197" t="str">
            <v>D13- No reportan las actualizaciones de integrantes, de grupos, semilleros y proyectos de investigación</v>
          </cell>
          <cell r="G197" t="str">
            <v>No alcanzar los indicadores de investigación exigidos por entes institucionales (Colciencias - Ministerio Educación)</v>
          </cell>
        </row>
        <row r="198">
          <cell r="F198" t="str">
            <v>D14 - No cumplimiento de lo pactado en el acta de compromiso de los proyectos de investigación y transferencias de resultados</v>
          </cell>
          <cell r="G198" t="str">
            <v>No alcanzar los indicadores de investigación exigidos por entes institucionales (Colciencias - Ministerio Educación)</v>
          </cell>
        </row>
        <row r="199">
          <cell r="F199" t="str">
            <v xml:space="preserve">D20 - No cumplir con las metas de los objetivos establecidos en el proceso. </v>
          </cell>
          <cell r="G199" t="str">
            <v>No alcanzar los indicadores de investigación exigidos por entes institucionales (Colciencias - Ministerio Educación)</v>
          </cell>
        </row>
        <row r="200">
          <cell r="F200" t="str">
            <v xml:space="preserve">A1. Ley de garantías </v>
          </cell>
          <cell r="G200" t="str">
            <v>Incumplimiento de las metas de proyección de presupuesto en la suscripción de convenios.</v>
          </cell>
        </row>
        <row r="201">
          <cell r="F201" t="str">
            <v>D8. Proyección sobredimensionada de la meta de presupuesto anual, sin contemplar la naturaleza de la Dirección de Proyectos Especiales y Relaciones Interinstitucionales.</v>
          </cell>
          <cell r="G201" t="str">
            <v>Incumplimiento de las metas de proyección de presupuesto en la suscripción de convenios.</v>
          </cell>
        </row>
        <row r="202">
          <cell r="F202" t="str">
            <v>A2. Universidades competidoras con mayor trayectoria y experiencia en modelos de contratación por medio de licitaciones.</v>
          </cell>
          <cell r="G202" t="str">
            <v>Incumplimiento de las metas de proyección de presupuesto en la suscripción de convenios.</v>
          </cell>
        </row>
        <row r="203">
          <cell r="F203" t="str">
            <v>A5. Cambios administrativos en las entidades con las cuales se suscriben los contratos.</v>
          </cell>
          <cell r="G203" t="str">
            <v>Incumplimiento de las metas de proyección de presupuesto en la suscripción de convenios.</v>
          </cell>
        </row>
        <row r="204">
          <cell r="F204" t="str">
            <v xml:space="preserve">D1. No contar con suficiente personal, debido los procesos de  contratación  lo que genera reproceso y demoras  dentro del proceso de Dialogando con el Mundo. </v>
          </cell>
          <cell r="G204" t="str">
            <v xml:space="preserve">Recorte de recursos por variaciones en el ciclo económico de Colombia impactando el presupuesto de la Universidad de Cundinamarca </v>
          </cell>
        </row>
        <row r="205">
          <cell r="F205" t="str">
            <v>A4. Presencia de virus ,pandemias, desastres naturales, Declaración de estado de emergencia nacionales E internacionales,  lo que afecta los procesos de movilidad.</v>
          </cell>
          <cell r="G205" t="str">
            <v xml:space="preserve">Recorte de recursos por variaciones en el ciclo económico de Colombia impactando el presupuesto de la Universidad de Cundinamarca </v>
          </cell>
        </row>
        <row r="206">
          <cell r="F206" t="str">
            <v>D20. La opción de grado de semestre avanzado en postgrados sin continuidad ni culminación del programa.</v>
          </cell>
          <cell r="G206" t="str">
            <v>Perdida de oportunidad de matriculas por parte de los aspirantes (Posgrados)</v>
          </cell>
        </row>
        <row r="207">
          <cell r="F207"/>
          <cell r="G207" t="str">
            <v>Perdida de oportunidad de matriculas por parte de los aspirantes (Posgrados)</v>
          </cell>
        </row>
        <row r="208">
          <cell r="F208" t="str">
            <v>D23. No hay publicidad sobre los programas de postgrados</v>
          </cell>
          <cell r="G208" t="str">
            <v>Perdida de oportunidad de matriculas por parte de los aspirantes (Posgrados)</v>
          </cell>
        </row>
        <row r="209">
          <cell r="F209" t="str">
            <v>D8. Currículos y planes de estudio que requieren actualización.</v>
          </cell>
          <cell r="G209" t="str">
            <v>Perdida de oportunidad de matriculas por parte de los aspirantes (Posgrados)</v>
          </cell>
        </row>
        <row r="210">
          <cell r="F210" t="str">
            <v>D8. Alta rotación de facilitadores de temas de calidad en los procesos.</v>
          </cell>
          <cell r="G210" t="str">
            <v>No utilización de los documentos del SGC en la operación de los procesos</v>
          </cell>
        </row>
        <row r="211">
          <cell r="F211" t="str">
            <v>D9. No hay procesos de inducción a funcionarios ni estudiantes en el SGC.</v>
          </cell>
          <cell r="G211" t="str">
            <v>No utilización de los documentos del SGC en la operación de los procesos</v>
          </cell>
        </row>
        <row r="212">
          <cell r="F212" t="str">
            <v>D9. Falta regulación interna que garantice el cumplimiento por parte de los procesos  en temas de SIA Observa   y parámetros de contratación.</v>
          </cell>
          <cell r="G212" t="str">
            <v>Rendición por fuera de tiempos establecidos, sin las verificaciones correspondientes.</v>
          </cell>
        </row>
        <row r="213">
          <cell r="F213" t="str">
            <v>D14. Entrega de Información sin los parámetros establecidos de calidad( Firmas, Fechas, versiones actualizadas.) por parte de los procesos</v>
          </cell>
          <cell r="G213" t="str">
            <v>Rendición por fuera de tiempos establecidos, sin las verificaciones correspondientes.</v>
          </cell>
        </row>
        <row r="214">
          <cell r="F214" t="str">
            <v>D2. Se presenta alta rotación de los funcionarios en el proceso.</v>
          </cell>
          <cell r="G214" t="str">
            <v>Incumplimiento de los tiempos de respuesta en la gestión de las PQRS por parte de los funcionarios competentes</v>
          </cell>
        </row>
        <row r="215">
          <cell r="F215" t="str">
            <v>D1. Demora en los tiempos de respuesta por parte de las dependencias</v>
          </cell>
          <cell r="G215" t="str">
            <v>Incumplimiento de los tiempos de respuesta en la gestión de las PQRS por parte de los funcionarios competentes</v>
          </cell>
        </row>
        <row r="216">
          <cell r="F216" t="str">
            <v>D5. El modelo y los tiempos de contratación de la universidad son demorados</v>
          </cell>
          <cell r="G216" t="str">
            <v>Incumplimiento de los tiempos de respuesta en la gestión de las PQRS por parte de los funcionarios competentes</v>
          </cell>
        </row>
        <row r="217">
          <cell r="F217" t="str">
            <v>D4. Falta de claridad en las respuestas dadas por los procesos competentes</v>
          </cell>
          <cell r="G217" t="str">
            <v>Incumplimiento de los tiempos de respuesta en la gestión de las PQRS por parte de los funcionarios competentes</v>
          </cell>
        </row>
        <row r="218">
          <cell r="F218" t="str">
            <v>A1. Asonadas por parte de los estudiantes</v>
          </cell>
          <cell r="G218" t="str">
            <v>Incumplimiento de los tiempos de respuesta en la gestión de las PQRS por parte de los funcionarios competentes</v>
          </cell>
        </row>
        <row r="219">
          <cell r="F219" t="str">
            <v>A11. Se incumplen las actividades de los procedimientos y se generan criterios propios para operarlos</v>
          </cell>
          <cell r="G219" t="str">
            <v>Incumplimiento al 100 % en la ejecución del mantenimiento  del parque automotor y planta física.</v>
          </cell>
        </row>
        <row r="220">
          <cell r="F220"/>
          <cell r="G220" t="str">
            <v>Incumplimiento al 100 % en la ejecución del mantenimiento  del parque automotor y planta física.</v>
          </cell>
        </row>
        <row r="221">
          <cell r="F221" t="str">
            <v>D21. Falta de un control eficiente que permita salvaguardar el parque automotor y la Planta Física</v>
          </cell>
          <cell r="G221" t="str">
            <v>Incumplimiento al 100 % en la ejecución del mantenimiento  del parque automotor y planta física.</v>
          </cell>
        </row>
        <row r="222">
          <cell r="F222"/>
          <cell r="G222" t="str">
            <v>Incumplimiento al 100 % en la ejecución del mantenimiento  del parque automotor y planta física.</v>
          </cell>
        </row>
        <row r="223">
          <cell r="F223" t="str">
            <v>D9. Los equipos de medición del proceso de bienestar universitario no cuentan con mantenimiento y calibración</v>
          </cell>
          <cell r="G223" t="str">
            <v>Resultados no confiables en equipos de la Unidad de Salud para la toma de decisiones</v>
          </cell>
        </row>
        <row r="224">
          <cell r="F224"/>
          <cell r="G224"/>
        </row>
        <row r="225">
          <cell r="F225"/>
          <cell r="G225"/>
        </row>
        <row r="226">
          <cell r="F226" t="str">
            <v>D31.Manifestantes paros, asonadas generan disturbios al interior de la institución afectando la infraestructura,  generan la activación del plan de emergencia.</v>
          </cell>
          <cell r="G226" t="str">
            <v>Daños en la Infraestructura y afectación en  la prestación normal de los servicios ofrecidos  por  Universidad de Cundinamarca.</v>
          </cell>
        </row>
        <row r="227">
          <cell r="F227" t="str">
            <v>A11. Se incumplen las actividades de los procedimientos y se generan criterios propios para operarlos</v>
          </cell>
          <cell r="G227" t="str">
            <v>Deterioro de los activos físicos de la Universidad</v>
          </cell>
        </row>
        <row r="228">
          <cell r="F228" t="str">
            <v>D5. No es suficiente la asignación del rubro presupuestal para la ejecución de las actividades del proceso.</v>
          </cell>
          <cell r="G228" t="str">
            <v>Deterioro de los activos físicos de la Universidad</v>
          </cell>
        </row>
        <row r="229">
          <cell r="F229" t="str">
            <v>D7. Desconocimiento de los bienes con los que cuenta la Universidad y frente a los inmuebles no se ejerce control de los mismo por el distanciamiento que hay de la sede principal de la Universidad.</v>
          </cell>
          <cell r="G229" t="str">
            <v>Deterioro de los activos físicos de la Universidad</v>
          </cell>
        </row>
        <row r="230">
          <cell r="F230"/>
          <cell r="G230" t="str">
            <v>Deterioro de los activos físicos de la Universidad</v>
          </cell>
        </row>
        <row r="231">
          <cell r="F231" t="str">
            <v>D6. Falta de un política de modernización permanente del parque automotor.</v>
          </cell>
          <cell r="G231" t="str">
            <v>Pérdida de la valorización del Parque Automotor y que el mantenimiento tenga un valor mayor al valor comercial.</v>
          </cell>
        </row>
        <row r="232">
          <cell r="F232" t="str">
            <v>D12. Falta de mecanismos que permitan la localización permanente del parque automotor.</v>
          </cell>
          <cell r="G232" t="str">
            <v>Pérdida de la valorización del Parque Automotor y que el mantenimiento tenga un valor mayor al valor comercial.</v>
          </cell>
        </row>
        <row r="233">
          <cell r="F233" t="str">
            <v>D4. Falta de unificación de criterios para la interacción con los demás Procesos académicos y administrativos.</v>
          </cell>
          <cell r="G233" t="str">
            <v>Enviar estudiantes a prácticas y pasantías sin que medie un convenio</v>
          </cell>
        </row>
        <row r="234">
          <cell r="F234" t="str">
            <v>D7. Falta de articulación con todos los Procesos</v>
          </cell>
          <cell r="G234" t="str">
            <v>Enviar estudiantes a prácticas y pasantías sin que medie un convenio</v>
          </cell>
        </row>
        <row r="235">
          <cell r="F235" t="str">
            <v>A12. La falta de cumplimiento contractual o de la normatividad vigente por parte de algunos proveedores que prestan el servicio en los programas socio - económicos</v>
          </cell>
          <cell r="G235" t="str">
            <v>Mala prestación de los servicios de hogar y restaurante universitario a los estudiantes beneficiados</v>
          </cell>
        </row>
        <row r="236">
          <cell r="F236"/>
          <cell r="G236"/>
        </row>
        <row r="237">
          <cell r="F237"/>
          <cell r="G237"/>
        </row>
        <row r="238">
          <cell r="F238" t="str">
            <v xml:space="preserve">D15. No se garantiza la idoneidad en cuanto a educación, formación y experiencia, frente al requisitos de los cargos </v>
          </cell>
          <cell r="G238" t="str">
            <v xml:space="preserve">Contratar personal que no tiene la idoneidad para el desempeño del cargo </v>
          </cell>
        </row>
        <row r="239">
          <cell r="F239" t="str">
            <v>D4. Incumplimiento en pagos, por no ejercer la operación, debido a  bloqueos producto de paros o asonadas  en la Universidad de Cundinamarca.</v>
          </cell>
          <cell r="G239" t="str">
            <v xml:space="preserve"> Incurrir en demandas, pagos de multas y sanciones  generados por  incumplimiento en las fechas de pago establecidas por las entidades.</v>
          </cell>
        </row>
        <row r="240">
          <cell r="F240" t="str">
            <v>D5. Contratos de trabajo interrumpido.</v>
          </cell>
          <cell r="G240" t="str">
            <v>Incumplimientos  del objeto contractual por parte de los proveedores de servicios en sistemas de gestión.</v>
          </cell>
        </row>
        <row r="241">
          <cell r="F241" t="str">
            <v>D7. Falta de disponibilidad de tiempo de los procesos para los temas de calidad.</v>
          </cell>
          <cell r="G241" t="str">
            <v>Incumplimientos  del objeto contractual por parte de los proveedores de servicios en sistemas de gestión.</v>
          </cell>
        </row>
        <row r="242">
          <cell r="F242" t="str">
            <v>D10. Insuficiencia de recursos físicos y económicos para el transporte seguro y oportuno en el cubrimiento de eventos en las diferentes sedes de la Universidad.</v>
          </cell>
          <cell r="G242" t="str">
            <v>Vulnerabilidad de la integridad física del personal y los equipos en los cubrimientos de actividades en el momento de desplazarse a las seccionales, extensiones y otros sitios.</v>
          </cell>
        </row>
        <row r="243">
          <cell r="F243"/>
          <cell r="G243"/>
        </row>
        <row r="244">
          <cell r="F244"/>
          <cell r="G244"/>
        </row>
        <row r="245">
          <cell r="F245"/>
          <cell r="G245"/>
        </row>
        <row r="246">
          <cell r="F246" t="str">
            <v>A11. Se incumplen las actividades de los procedimientos y se generan criterios propios para operarlos</v>
          </cell>
          <cell r="G246" t="str">
            <v>Riesgo de Corrupción</v>
          </cell>
        </row>
        <row r="247">
          <cell r="F247"/>
          <cell r="G247" t="str">
            <v>Riesgo de Corrupción</v>
          </cell>
        </row>
        <row r="248">
          <cell r="F248" t="str">
            <v>D11. Incumplimiento de requisitos legales relacionados con el derecho de acceso a la información pública</v>
          </cell>
          <cell r="G248" t="str">
            <v>Riesgo de Corrupción</v>
          </cell>
        </row>
        <row r="249">
          <cell r="F249" t="str">
            <v>A4. Procesos precontractuales poco transparentes.</v>
          </cell>
          <cell r="G249" t="str">
            <v>Riesgo de Corrupción</v>
          </cell>
        </row>
        <row r="250">
          <cell r="F250" t="str">
            <v>D1. Dificultades para la obtención de información veraz, actualizada y confiable.</v>
          </cell>
          <cell r="G250" t="str">
            <v>Incumplimiento en el reporte de Información solicitada por Entes Internos y Externos.</v>
          </cell>
        </row>
        <row r="251">
          <cell r="F251" t="str">
            <v>D4. Retrasos en la Información solicitada a los procesos</v>
          </cell>
          <cell r="G251" t="str">
            <v>Incumplimiento en el reporte de Información solicitada por Entes Internos y Externos.</v>
          </cell>
        </row>
        <row r="252">
          <cell r="F252"/>
          <cell r="G252" t="str">
            <v>Incumplimiento en el reporte de Información solicitada por Entes Internos y Externos.</v>
          </cell>
        </row>
        <row r="253">
          <cell r="F253" t="str">
            <v>D3. No hay suficiente capacidad instalada para atender las necesidades de la Universidad.</v>
          </cell>
          <cell r="G253" t="str">
            <v>Incumplimiento en el reporte de Información solicitada por Entes Internos y Externos.</v>
          </cell>
        </row>
        <row r="254">
          <cell r="F254" t="str">
            <v>D3. Deficiencia en la identificación y aplicación de la normatividad legal vigente</v>
          </cell>
          <cell r="G254" t="str">
            <v>Posibles Multas y sanciones derivadas por incumplimientos legales asociados a la actualización de normatividad legal no identificada oportunamente.</v>
          </cell>
        </row>
        <row r="255">
          <cell r="F255" t="str">
            <v xml:space="preserve">D7. No se cuenta con software en línea  que permita la comunicación de todos los procesos internos y externos </v>
          </cell>
          <cell r="G255" t="str">
            <v>Inicio  de procesos disciplinarios o sancionatorios  por no  contar con herramientas tecnológicas en línea  que permitan realizar el seguimiento oportuno de trámite radicado.</v>
          </cell>
        </row>
        <row r="256">
          <cell r="F256" t="str">
            <v>D8. No se cuenta con herramientas digitales en línea para realizar seguimiento a los tramites radicados por las Partes interesadas.</v>
          </cell>
          <cell r="G256" t="str">
            <v>Inicio  de procesos disciplinarios o sancionatorios  por no  contar con herramientas tecnológicas en línea  que permitan realizar el seguimiento oportuno de trámite radicado.</v>
          </cell>
        </row>
        <row r="257">
          <cell r="F257" t="str">
            <v>D16. Conciliaciones entre Almacén y contabilidad</v>
          </cell>
          <cell r="G257" t="str">
            <v>Inconsistencias en los reportes generados a la Contraloría por medio del SIA</v>
          </cell>
        </row>
        <row r="258">
          <cell r="F258" t="str">
            <v>D18. Mala clasificación de los bienes</v>
          </cell>
          <cell r="G258" t="str">
            <v>Inconsistencias en los reportes generados a la Contraloría por medio del SIA</v>
          </cell>
        </row>
        <row r="259">
          <cell r="F259" t="str">
            <v>D19. Registro no oportuno de los ingresos por las diferentes modalidades</v>
          </cell>
          <cell r="G259" t="str">
            <v>Inconsistencias en los reportes generados a la Contraloría por medio del SIA</v>
          </cell>
        </row>
        <row r="260">
          <cell r="F260" t="str">
            <v>A10. Bajo interés de relacionamiento o articulación de las partes interesadas con el SGC</v>
          </cell>
          <cell r="G260" t="str">
            <v>Falta de alineación de criterios de medición con el proceso de planeación institucional.</v>
          </cell>
        </row>
        <row r="261">
          <cell r="F261" t="str">
            <v>D11. Falta de articulación de las diversas herramientas de medición de los procesos</v>
          </cell>
          <cell r="G261" t="str">
            <v>Falta de alineación de criterios de medición con el proceso de planeación institucional.</v>
          </cell>
        </row>
        <row r="262">
          <cell r="F262" t="str">
            <v>A3. Exigibilidad de documentos por parte de los entes de control.</v>
          </cell>
          <cell r="G262" t="str">
            <v>Falta de alineación de criterios de medición con el proceso de planeación institucional.</v>
          </cell>
        </row>
        <row r="263">
          <cell r="F263" t="str">
            <v>D12. No hay un mecanismo eficaz para la evaluación de desempeño de los procesos en materia de gestión</v>
          </cell>
          <cell r="G263" t="str">
            <v>Falta de alineación de criterios de medición con el proceso de planeación institucional.</v>
          </cell>
        </row>
        <row r="264">
          <cell r="F264" t="str">
            <v>O11. Fortalecimiento de la inspección, vigilancia y control en Colombia.</v>
          </cell>
          <cell r="G264" t="str">
            <v>Falta de alineación de criterios de medición con el proceso de planeación institucional.</v>
          </cell>
        </row>
        <row r="265">
          <cell r="F265" t="str">
            <v>A7. Desconocimiento de las actividades y metas propias del proceso por parte de los Gestores Responsables</v>
          </cell>
          <cell r="G265" t="str">
            <v>Viabilidad técnica de proyectos de inversión que no aporten significativamente al cumplimiento del Plan de Desarrollo Institucional</v>
          </cell>
        </row>
        <row r="266">
          <cell r="F266" t="str">
            <v>A5. Los tiempos en los que se transfieren los recursos de estampillas no son acordes a las necesidades de la Universidad.</v>
          </cell>
          <cell r="G266" t="str">
            <v>Viabilidad técnica de proyectos de inversión que no aporten significativamente al cumplimiento del Plan de Desarrollo Institucional</v>
          </cell>
        </row>
        <row r="267">
          <cell r="F267" t="str">
            <v>A6. Recursos Financieros insuficientes para satisfacer las necesidades de la Institución</v>
          </cell>
          <cell r="G267" t="str">
            <v>Viabilidad técnica de proyectos de inversión que no aporten significativamente al cumplimiento del Plan de Desarrollo Institucional</v>
          </cell>
        </row>
        <row r="268">
          <cell r="F268" t="str">
            <v>A1. Imprudencia y falta de Autocuidado en la Comunidad Universitaria.</v>
          </cell>
          <cell r="G268" t="str">
            <v>Atención inoportuna a cualquier miembro de la Comunidad Universitaria</v>
          </cell>
        </row>
        <row r="269">
          <cell r="F269" t="str">
            <v>D7. Horarios de atención en servicios de salud No acordes con las jornadas de la Universidad</v>
          </cell>
          <cell r="G269" t="str">
            <v>Atención inoportuna a cualquier miembro de la Comunidad Universitaria</v>
          </cell>
        </row>
        <row r="270">
          <cell r="F270" t="str">
            <v>D8. Profesionales que no cuentan con la capacitación para la atención en primeros auxilios</v>
          </cell>
          <cell r="G270" t="str">
            <v>Atención inoportuna a cualquier miembro de la Comunidad Universitaria</v>
          </cell>
        </row>
        <row r="271">
          <cell r="F271" t="str">
            <v>A9. Presencia de virus pandemias, en general enfermedades de origen biológico.</v>
          </cell>
          <cell r="G271" t="str">
            <v xml:space="preserve">Afectación de la prestación del servicio y la salud de los funcionarios por virus o Pandemias. </v>
          </cell>
        </row>
        <row r="272">
          <cell r="F272" t="str">
            <v>A1. Hackers informáticos</v>
          </cell>
          <cell r="G272" t="str">
            <v>Vulneración de canales de comunicación digitales, específicamente de redes sociales.</v>
          </cell>
        </row>
        <row r="273">
          <cell r="F273"/>
          <cell r="G273"/>
        </row>
        <row r="274">
          <cell r="F274" t="str">
            <v>D7. No hay posicionamiento del nombre de la institución nacionalmente</v>
          </cell>
          <cell r="G274" t="str">
            <v>Incumplimiento de los lineamientos del manual de identidad institucional que afecta la imagen de la Universidad.</v>
          </cell>
        </row>
        <row r="275">
          <cell r="F275"/>
          <cell r="G275" t="str">
            <v>Incumplimiento de los lineamientos del manual de identidad institucional que afecta la imagen de la Universidad.</v>
          </cell>
        </row>
        <row r="276">
          <cell r="F276" t="str">
            <v>D12. Incumplimiento con los lineamientos del manual en su última versión</v>
          </cell>
          <cell r="G276" t="str">
            <v>Incumplimiento de los lineamientos del manual de identidad institucional que afecta la imagen de la Universidad.</v>
          </cell>
        </row>
        <row r="277">
          <cell r="F277"/>
          <cell r="G277" t="str">
            <v>Incumplimiento de los lineamientos del manual de identidad institucional que afecta la imagen de la Universidad.</v>
          </cell>
        </row>
        <row r="278">
          <cell r="F278"/>
          <cell r="G278" t="str">
            <v>Incumplimiento de los lineamientos del manual de identidad institucional que afecta la imagen de la Universidad.</v>
          </cell>
        </row>
        <row r="279">
          <cell r="F279" t="str">
            <v>D4. No se cuenta con el apoyo suficiente para el reconocimiento de la Universidad en el exterior.</v>
          </cell>
          <cell r="G279" t="str">
            <v xml:space="preserve">Perdida de reconocimiento por falta de   divulgación  hace que la universidad afronte inestabilidad en los procesos de captación de estudiantes </v>
          </cell>
        </row>
        <row r="280">
          <cell r="F280" t="str">
            <v>D6. Falta de opciones de aprendizaje en otros idiomas diferentes al ingles que faciliten los procesos de multilingüismo y multiculturalidad</v>
          </cell>
          <cell r="G280" t="str">
            <v>No Aplicación de  estrategias que se puedan adoptar frente al cambio de administración institucional de la Universidad</v>
          </cell>
        </row>
        <row r="281">
          <cell r="F281" t="str">
            <v xml:space="preserve">D15. La incertidumbre en temas de relaciones internacionales con base en la nueva administración presidencial </v>
          </cell>
          <cell r="G281" t="str">
            <v xml:space="preserve">No realizar convenios por Cambios Políticos  Asociado a los organismos gubernamentales de Colombia que por su intervención, pueden afectar negativamente el funcionamiento de la Universidad. </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FA INSTITUCIONAL 2022"/>
      <sheetName val="DOFA INSTITUCIONAL 2023"/>
      <sheetName val="ESPN. PESCD. 2018"/>
      <sheetName val="DOFA CONSOLIDADO"/>
      <sheetName val="T.D. DEBLD"/>
      <sheetName val="T.D. FORTLZ"/>
      <sheetName val="T.D.AMENZ"/>
      <sheetName val="T.D. OPRTND"/>
    </sheetNames>
    <sheetDataSet>
      <sheetData sheetId="0" refreshError="1"/>
      <sheetData sheetId="1" refreshError="1"/>
      <sheetData sheetId="2" refreshError="1"/>
      <sheetData sheetId="3" refreshError="1"/>
      <sheetData sheetId="4" refreshError="1"/>
      <sheetData sheetId="5">
        <row r="3">
          <cell r="A3" t="str">
            <v>Etiquetas de fila</v>
          </cell>
        </row>
      </sheetData>
      <sheetData sheetId="6">
        <row r="3">
          <cell r="A3" t="str">
            <v>Etiquetas de fila</v>
          </cell>
        </row>
      </sheetData>
      <sheetData sheetId="7">
        <row r="3">
          <cell r="A3" t="str">
            <v>Etiquetas de fila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ESPN. PESCD. 2023"/>
      <sheetName val="ESPN. PESCD. 2022"/>
      <sheetName val="DOFA CONSOLIDADO"/>
      <sheetName val="T.D. DEBLD"/>
      <sheetName val="T.D.AMENZ"/>
      <sheetName val="T.D. FORTLZ"/>
      <sheetName val="T.D. OPRTND"/>
      <sheetName val="ESPN. PESCD. 2024"/>
      <sheetName val="ESPN. PESCD. 2025"/>
      <sheetName val="T.D. Amenazas"/>
      <sheetName val="AMENAZAS 2022"/>
      <sheetName val="T.D. Oportunidades"/>
      <sheetName val="OPORTUNIDADES 2022"/>
      <sheetName val="T.D. Debilidades"/>
      <sheetName val="DEBILIDADES 2022"/>
      <sheetName val="Hoja1"/>
      <sheetName val="T.D. Fortalezas"/>
      <sheetName val="Hoja3"/>
      <sheetName val="FORTALEZAS 20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4">
          <cell r="B4" t="str">
            <v>Etiquetas de fila</v>
          </cell>
        </row>
      </sheetData>
      <sheetData sheetId="18"/>
      <sheetData sheetId="19"/>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nna rodriguez" refreshedDate="44092.617064583334" createdVersion="5" refreshedVersion="6" minRefreshableVersion="3" recordCount="427" xr:uid="{00000000-000A-0000-FFFF-FFFF23000000}">
  <cacheSource type="worksheet">
    <worksheetSource ref="B335:E659" sheet="DOFA CONSOLIDADO"/>
  </cacheSource>
  <cacheFields count="4">
    <cacheField name="PROCESO" numFmtId="0">
      <sharedItems count="42">
        <s v="PROCESO GESTIÓN ADMISIONES Y REGISTRO"/>
        <s v="PROCESO GESTIÓN APOYO ACADÉMICO"/>
        <s v="PROCESO GESTIÓN AUTOEVALUACIÓN Y ACREDITACIÓN"/>
        <s v="PROCESO GESTIÓN BIENES Y SERVICIOS"/>
        <s v="PROCESO GESTIÓN BIENESTAR UNIVERSITARIO "/>
        <s v="PROCESO GESTIÓN CIENCIA, TECNOLOGÍA E INNOVACIÓN"/>
        <s v="PROCESO GESTIÓN COMUNICACIONES"/>
        <s v="PROCESO GESTIÓN CONTROL DISCIPLINARIO"/>
        <s v="PROCESO GESTIÓN CONTROL INTERNO"/>
        <s v="PROCESO GESTIÓN DE PROYECTOS ESPECIALES Y RELACIONES INTERINSTITUCIONALES"/>
        <s v="PROCESO GESTIÓN DOCUMENTAL"/>
        <s v="DIALOGANDO CON EL MUNDO"/>
        <s v="PROCESO GESTIÓN FINANCIERA"/>
        <s v="PROCESO GESTIÓN FORMACIÓN Y APRENDIZAJE "/>
        <s v="PROCESO GESTIÓN INTERACCIÓN UNIVERSITARIA"/>
        <s v="PROCESO GESTIÓN JURÍDICA"/>
        <s v="PROCESO GESTIÓN PLANEACIÓN INSTITUCIONAL"/>
        <s v="PROCESO GESTIÓN SERVICIO DE ATENCIÓN AL CIUDADANO"/>
        <s v="PROCESO GESTIÓN SISTEMAS INTEGRADOS "/>
        <s v="PROCESO GESTIÓN SISTEMAS Y TECNOLOGÍA"/>
        <s v="PROCESO GESTIÓN TALENTO HUMANO"/>
        <s v="PROCESO AUTOEVALUACION Y ACREDITACION" u="1"/>
        <s v="GESTIÓN ADMISIONES Y REGISTRO" u="1"/>
        <s v="PROCESO GESTION DOCUMENTAL" u="1"/>
        <s v="PROCESO GESTIÓN GRADUADOS " u="1"/>
        <s v="GESTIÓN DE BIENES Y SERVICIOS" u="1"/>
        <s v="PROCESO FINANCIERO" u="1"/>
        <s v="GESTIÓN COMUNICACIONES" u="1"/>
        <s v="SISTEMAS INTEGRADOS DE GESTIÓN" u="1"/>
        <s v="PROCESO PLANEACIÓN INSTITUCIONAL" u="1"/>
        <s v="PROCESO FORMACION Y APRENDIZAJE " u="1"/>
        <s v="PROCESO DE SISTEMAS Y TECNOLOGÍA" u="1"/>
        <s v="CONTROL INTERNO" u="1"/>
        <s v="GESTIÓN JURÍDICA" u="1"/>
        <s v="PROCESO DE PROYECTOS ESPECIALES" u="1"/>
        <s v="PROCESO GRADUADOS " u="1"/>
        <s v="GESTIÓN CONTROL DISCIPLINARIO" u="1"/>
        <s v="Gestión Apoyo Académico" u="1"/>
        <s v="PROCESO GESTION INTERACCION UNIVERSITARIA" u="1"/>
        <s v="CIENCIA, TECNOLOGÍA E INNOVACIÓN" u="1"/>
        <s v="SERVICIO DE ATENCIÓN AL CIUDADANO" u="1"/>
        <s v="PROCESO BIENESTAR UNIVERSITARIO " u="1"/>
      </sharedItems>
    </cacheField>
    <cacheField name="FACTOR" numFmtId="0">
      <sharedItems longText="1"/>
    </cacheField>
    <cacheField name="CLASIFICACION" numFmtId="0">
      <sharedItems containsBlank="1" count="14">
        <s v="METODO"/>
        <s v="MANAGEMENT"/>
        <s v="MEDICION "/>
        <s v="TALENTO HUMANO "/>
        <s v="MEDIO AMBIENTE"/>
        <s v="EQUIPO, TECNOLOGÍA E INFRAESTRUCTURA"/>
        <s v="MONEDA"/>
        <m u="1"/>
        <s v="MAQUINARIA EQUIPO E INFRAESTRUCTURA" u="1"/>
        <s v="AMBIENTE" u="1"/>
        <s v="MANO DE OBRA" u="1"/>
        <s v="INSUMOS " u="1"/>
        <s v="METODOS " u="1"/>
        <s v="METODOS" u="1"/>
      </sharedItems>
    </cacheField>
    <cacheField name="SUBCLASIFICACION" numFmtId="0">
      <sharedItems containsBlank="1" count="57">
        <s v="INFORMACION"/>
        <s v="PLANIFICACION "/>
        <s v="INDICADORES"/>
        <s v="COMUNICACIÓN"/>
        <s v="SUFICIENCIA"/>
        <s v="IMPLEMENTACION "/>
        <s v="TOMA DE CONCIENCIA "/>
        <s v="POSICIONAMIENTO"/>
        <s v="PROCEDIMIENTOS "/>
        <s v="BIENESTAR LABORAL"/>
        <s v="APOYO DE TERCEROS"/>
        <s v="LIDERAZGO"/>
        <s v="DESARROLLO PROFESIONAL"/>
        <s v="SOFTWARE Y PLATAFORMAS"/>
        <s v="ROLES Y RESPONSABILIDADES"/>
        <s v="PRESUPUESTO"/>
        <s v="NORMATIVIDAD"/>
        <s v="DOCUMENTACION "/>
        <s v="HERRAMIENTAS "/>
        <s v="RELACIONAMIENTO"/>
        <s v="COMPETENCIA"/>
        <s v="INSTALACIONES"/>
        <s v="SISTEMATIZACION"/>
        <s v="GESTIÓN DEL CONOCIMIENTO"/>
        <s v="DIRECCIONAMIENTO ESTRATEGICO"/>
        <s v="SEGUIMIENTO Y CONTROL "/>
        <s v="CONTINUIDAD"/>
        <s v="ARTICULACIÓN DE PROCESOS"/>
        <s v="COMPETITIVIDAD"/>
        <s v="LIQUIDEZ"/>
        <s v="TRAZABILIDAD"/>
        <s v="TIEMPOS"/>
        <s v="RESULTADOS"/>
        <s v="OBSOLECENCIA "/>
        <s v="TRANSPARENCIA"/>
        <s v="UBICACIÓN Y ACCESO"/>
        <s v="GESTION DEL CAMBIO "/>
        <s v="COMPETITIVIDAD "/>
        <s v="RELACIONAMIENTO "/>
        <s v="REDES"/>
        <m u="1"/>
        <s v="HARDWARE " u="1"/>
        <s v="CONSUMO" u="1"/>
        <s v="HADWARE " u="1"/>
        <s v="ESTRUCTURA ORGANICA" u="1"/>
        <s v="HADWARE" u="1"/>
        <s v="SISTEMATIZACION " u="1"/>
        <s v="ARTICULACION DE PROCESOS" u="1"/>
        <s v="REDES  " u="1"/>
        <s v="POLITICAS" u="1"/>
        <s v="HADWARE Y SOFTWARE" u="1"/>
        <s v="SOFTWARE" u="1"/>
        <s v="COMPETENCIA " u="1"/>
        <s v="RECONOCIMIENTO" u="1"/>
        <s v="TRABAJO EN EQUIPO" u="1"/>
        <s v="PLATAFORMAS WEB" u="1"/>
        <s v="HARDWARE Y SOFTWARE" u="1"/>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nna rodriguez" refreshedDate="44092.617137615744" createdVersion="6" refreshedVersion="6" minRefreshableVersion="3" recordCount="211" xr:uid="{00000000-000A-0000-FFFF-FFFF24000000}">
  <cacheSource type="worksheet">
    <worksheetSource ref="B872:E1018" sheet="DOFA CONSOLIDADO"/>
  </cacheSource>
  <cacheFields count="4">
    <cacheField name="PROCESO" numFmtId="0">
      <sharedItems count="21">
        <s v="PROCESO GESTIÓN DOCUMENTAL"/>
        <s v="DIALOGANDO CON EL MUNDO"/>
        <s v="PROCESO GESTIÓN DE PROYECTOS ESPECIALES Y RELACIONES INSTERINSTITUCIONALES "/>
        <s v="PROCESO GESTIÓN AUTOEVALUACIÓN Y ACREDITACIÓN "/>
        <s v="PROCESO GESTIÓN SISTEMAS Y TECNOLOGÍA"/>
        <s v="PROCESO GESTIÓN PLANEACIÓN INSTITUCIONAL"/>
        <s v="PROCESO GESTIÓN FINANCIERA"/>
        <s v="PROCESO GESTIÓN FORMACIÓN Y APRENDIZAJE "/>
        <s v="PROCESO GESTIÓN BIENESTAR UNIVERSITARIO"/>
        <s v="PROCESO GESTIÓN CIENCIA, TECNOLOGÍA E INNOVACIÓN"/>
        <s v="PROCESO GESTIÓN SISTEMAS INTEGRADOS"/>
        <s v="PROCESO GESTIÓN SERVICIO DE ATENCIÓN AL CIUDADANO"/>
        <s v="PROCESO GESTIÓN COMUNICACIONES"/>
        <s v="PROCESO GESTIÓN CONTROL INTERNO"/>
        <s v="PROCESO GESTIÓN BIENES Y SERVICIOS"/>
        <s v="PROCESO GESTIÓN INTERACCIÓN UNIVERSITARIA"/>
        <s v="PROCESO GESTIÓN APOYO ACADÉMICO"/>
        <s v="PROCESO GESTIÓN CONTROL DISCIPLINARIO"/>
        <s v="PROCESO GESTIÓN JURÍDICA"/>
        <s v="PROCESO GESTIÓN ADMISIONES Y REGISTRO"/>
        <s v="PROCESO GESTIÓN TALENTO HUMANO"/>
      </sharedItems>
    </cacheField>
    <cacheField name="FACTOR" numFmtId="0">
      <sharedItems/>
    </cacheField>
    <cacheField name="CLASIFICACION" numFmtId="0">
      <sharedItems count="7">
        <s v="POLITICO"/>
        <s v="MERCADO"/>
        <s v="SOCIAL "/>
        <s v="TECNOLOGICO "/>
        <s v="LEGAL"/>
        <s v="AMBIENTAL"/>
        <s v="ECONOMICO "/>
      </sharedItems>
    </cacheField>
    <cacheField name="SUBCLASIFICACION" numFmtId="0">
      <sharedItems count="22">
        <s v="POLITICAS"/>
        <s v="COMPETENCIA"/>
        <s v="RECONOCIMIENTO"/>
        <s v="OFERTA "/>
        <s v="RELACIONAMIENTO"/>
        <s v="NECESIDADES "/>
        <s v="ACCESIBILIDAD"/>
        <s v="LINEAMIENTOS"/>
        <s v="CONTINUIDAD DE PROCESOS"/>
        <s v="NORMATIVIDAD"/>
        <s v="AVANCES "/>
        <s v="DEMANDA"/>
        <s v="CLIMA"/>
        <s v="INVERSION "/>
        <s v="PRESUPUESTO"/>
        <s v="ENTES DE CONTROL"/>
        <s v="MEDIOS DE COMUNICACIÓN"/>
        <s v="SEGURIDAD DE LA INFORMACION"/>
        <s v="TRANSPARENCIA"/>
        <s v="CULTURA"/>
        <s v="CONFIABILIDAD"/>
        <s v="CARTERA"/>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nna rodriguez" refreshedDate="44092.619706712961" createdVersion="6" refreshedVersion="6" minRefreshableVersion="3" recordCount="172" xr:uid="{00000000-000A-0000-FFFF-FFFF25000000}">
  <cacheSource type="worksheet">
    <worksheetSource ref="B695:E857" sheet="DOFA CONSOLIDADO"/>
  </cacheSource>
  <cacheFields count="4">
    <cacheField name="PROCESO" numFmtId="0">
      <sharedItems containsBlank="1" count="22">
        <s v="PROCESO GESTIÓN SERVICIO DE ATENCIÓN AL CIUDADANO"/>
        <s v="PROCESO GESTIÓN AUTOEVALUACIÓN Y ACREDITACIÓN "/>
        <s v="PROCESO GESTIÓN DE PROYECTOS ESPECIALES Y RELACIONES INTERINSTITUCIONALES"/>
        <s v="PROCESO GESTIÓN SISTEMAS Y TECNOLOGÍA"/>
        <s v="PROCESO GESTIÓN PLANEACIÓN INSTITUCIONAL"/>
        <s v="PROCESO GESTIÓN APOYO ACADÉMICO"/>
        <s v="PROCESO GESTIÓN INTERACCIÓN UNIVERSITARIA"/>
        <s v="PROCESO GESTIÓN FORMACION Y APRENDIZAJE"/>
        <m/>
        <s v="DIALOGANDO CON EL MUNDO"/>
        <s v="PROCESO GESTIÓN BIENESTAR UNIVERSITARIO"/>
        <s v="PROCESO GESTIÓN DOCUMENTAL"/>
        <s v="PROCESO GESTIÓN CIENCIA, TECNOLOGÍA E INNOVACIÓN"/>
        <s v="PROCESO GESTIÓN FINANCIERA"/>
        <s v="PROCESO GESTIÓN SISTEMAS INTEGRADOS"/>
        <s v="PROCESO GESTIÓN CONTROL DISCIPLINARIO"/>
        <s v="PROCESO GESTIÓN CONTROL INTERNO"/>
        <s v="PROCESO GESTIÓN JURÍDICA"/>
        <s v="PROCESO GESTIÓN BIENES Y SERVICIOS"/>
        <s v="PROCESO GESTIÓN COMUNICACIONES"/>
        <s v="PROCESO GESTIÓN ADMISIONES Y REGISTRO"/>
        <s v="PROCESO GESTIÓN TALENTO HUMANO"/>
      </sharedItems>
    </cacheField>
    <cacheField name="FACTOR " numFmtId="0">
      <sharedItems/>
    </cacheField>
    <cacheField name="CLASIFICACION" numFmtId="0">
      <sharedItems count="9">
        <s v="AMBIENTAL"/>
        <s v="LEGAL "/>
        <s v="MERCADO"/>
        <s v="POLITICO"/>
        <s v="ECONOMICO "/>
        <s v="SOCIAL"/>
        <s v="TECNOLOGICO"/>
        <s v="POLÍTICO" u="1"/>
        <s v="LEGAL" u="1"/>
      </sharedItems>
    </cacheField>
    <cacheField name="SUBCLASIFICACION" numFmtId="0">
      <sharedItems count="26">
        <s v="CLIMA "/>
        <s v="NORMATIVIDAD"/>
        <s v="COMPETENCIA "/>
        <s v="RECONOCIMIENTO"/>
        <s v="INFLUENCIA "/>
        <s v="CONFIABILIDAD"/>
        <s v="INVERSION "/>
        <s v="CONTINUIDAD DE PROCESOS"/>
        <s v="PRESUPUESTO"/>
        <s v="NECESIDADES"/>
        <s v="SEGURIDAD"/>
        <s v="SEGURIDAD DE LA INFORMACION"/>
        <s v="LINEAMIENTOS "/>
        <s v="ACCESIBILIDAD"/>
        <s v="NECESIDADES "/>
        <s v="PATOGENOS EXTERNOS "/>
        <s v="CULTURA"/>
        <s v="POLITICAS"/>
        <s v="RELACIONAMIENTO "/>
        <s v="AVANCES"/>
        <s v="MEDIOS DE COMUNICACIÓN"/>
        <s v="CARTERA"/>
        <s v="SEGURIDAD DE LA INFORMACIÓN"/>
        <s v="ENTES DE CONTROL"/>
        <s v="TRANSPARENCIA"/>
        <s v="OFERTA"/>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ren" refreshedDate="44385.423184259256" createdVersion="6" refreshedVersion="7" minRefreshableVersion="3" recordCount="1033" xr:uid="{00000000-000A-0000-FFFF-FFFF26000000}">
  <cacheSource type="worksheet">
    <worksheetSource ref="A2:E1035" sheet="DOFA CONSOLIDADO"/>
  </cacheSource>
  <cacheFields count="5">
    <cacheField name="FACTOR " numFmtId="0">
      <sharedItems count="4">
        <s v="DEBILIDAD"/>
        <s v="FORTALEZA"/>
        <s v="AMENAZA"/>
        <s v="OPORTUNIDAD"/>
      </sharedItems>
    </cacheField>
    <cacheField name="PROCESO" numFmtId="0">
      <sharedItems count="26">
        <s v="PROCESO GESTIÓN ADMISIONES Y REGISTRO"/>
        <s v="PROCESO GESTIÓN APOYO ACADÉMICO"/>
        <s v="PROCESO GESTIÓN AUTOEVALUACIÓN Y ACREDITACIÓN"/>
        <s v="PROCESO GESTIÓN BIENES Y SERVICIOS"/>
        <s v="PROCESO GESTIÓN BIENESTAR UNIVERSITARIO"/>
        <s v="PROCESO GESTIÓN CIENCIA, TECNOLOGÍA E INNOVACIÓN"/>
        <s v="PROCESO GESTIÓN COMUNICACIONES"/>
        <s v="PROCESO GESTIÓN DIALOGANDO CON EL MUNDO"/>
        <s v="PROCESO GESTIÓN CONTROL DISCIPLINARIO"/>
        <s v="PROCESO GESTIÓN CONTROL INTERNO"/>
        <s v="PROCESO GESTIÓN DE PROYECTOS ESPECIALES Y RELACIONES INTERINSTITUCIONALES"/>
        <s v="PROCESO GESTIÓN DOCUMENTAL"/>
        <s v="PROCESO GESTIÓN FINANCIERA"/>
        <s v="PROCESO GESTIÓN FORMACIÓN Y APRENDIZAJE "/>
        <s v="PROCESO GESTIÓN INTERACCIÓN UNIVERSITARIA"/>
        <s v="PROCESO GESTIÓN JURÍDICA"/>
        <s v="PROCESO GESTIÓN PLANEACIÓN INSTITUCIONAL"/>
        <s v="PROCESO GESTIÓN SERVICIO DE ATENCIÓN AL CIUDADANO"/>
        <s v="PROCESO GESTIÓN SISTEMAS INTEGRADOS "/>
        <s v="PROCESO GESTIÓN SISTEMAS Y TECNOLOGÍA"/>
        <s v="PROCESO GESTIÓN TALENTO HUMANO"/>
        <s v="PROCESO GESTIÓN SISTEMA DE LA SEGURIDAD Y SALUD EN EL TRABAJO"/>
        <s v="PROCESO GESTIÓN GRADUADOS"/>
        <s v="PROCESO GESTIÓN BIENESTAR UNIVERSITARIO "/>
        <s v="PROCESO GESTIÓN AUTOEVALUACIÓN Y ACREDITACIÓN "/>
        <s v="PROCESO GESTIÓN SISTEMAS INTEGRADOS"/>
      </sharedItems>
    </cacheField>
    <cacheField name="FACTOR" numFmtId="0">
      <sharedItems longText="1"/>
    </cacheField>
    <cacheField name="CLASIFICACION" numFmtId="0">
      <sharedItems count="17">
        <s v="MÉTODO"/>
        <s v="TALENTO HUMANO "/>
        <s v="MANAGEMENT"/>
        <s v="MEDICIÓN "/>
        <s v="EQUIPO, TECNOLOGÍA E INFRAESTRUCTURA"/>
        <s v="MONEDA"/>
        <s v="INSUMOS"/>
        <s v="MEDIO AMBIENTE"/>
        <s v="LEGAL "/>
        <s v="MERCADO"/>
        <s v="POLÍTICO"/>
        <s v="AMBIENTAL"/>
        <s v="SOCIAL"/>
        <s v="ECONÓMICO "/>
        <s v="TECNOLÓGICO"/>
        <s v="LEGAL" u="1"/>
        <s v="SOCIAL " u="1"/>
      </sharedItems>
    </cacheField>
    <cacheField name="SUBCLASIFICACION" numFmtId="0">
      <sharedItems count="72">
        <s v="ARTICULACIÓN DE PROCESOS"/>
        <s v="TIEMPOS"/>
        <s v="GESTIÓN DEL CONOCIMIENTO"/>
        <s v="ESTRUCTURA ORGANICA "/>
        <s v="DIRECCIONAMIENTO ESTRATEGICO"/>
        <s v="SEGUIMIENTO Y CONTROL "/>
        <s v="TOMA DE CONCIENCIA "/>
        <s v="LIDERAZGO"/>
        <s v="SUFICIENCIA"/>
        <s v="INSTALACIONES"/>
        <s v="HERRAMIENTAS"/>
        <s v="PRESUPUESTO"/>
        <s v="COMUNICACIÓN "/>
        <s v="GESTIÓN DEL CAMBIO"/>
        <s v="CONTINUIDAD"/>
        <s v="PLANIFICACION "/>
        <s v="COMPETENCIA"/>
        <s v="INFORMACIÓN"/>
        <s v="IMPLEMENTACIÓN"/>
        <s v="SOFTWARE Y PLATAFORMAS"/>
        <s v="UBICACIÓN Y ACCESO"/>
        <s v="OBSOLECENCIA "/>
        <s v="RESULTADOS"/>
        <s v="PROCEDIMIENTOS"/>
        <s v="CONSUMO  "/>
        <s v="NORMATIVIDAD"/>
        <s v="REDES"/>
        <s v="APOYO DE TERCEROS"/>
        <s v="LIQUIDEZ"/>
        <s v="DOCUMENTACIÓN"/>
        <s v="RELACIONAMIENTO"/>
        <s v="POSICIONAMIENTO"/>
        <s v="DESARROLLO PROFESIONAL"/>
        <s v="BIENESTAR LABORAL "/>
        <s v="INDICADORES"/>
        <s v="SISTEMATIZACION "/>
        <s v="HARDWARE"/>
        <s v="MEDIOS DE TRANSPORTE"/>
        <s v="ROLES Y RESPONSABILIDADES"/>
        <s v="TRANSPARENCIA"/>
        <s v="COMUNICACIÓN"/>
        <s v="PROCEDIMIENTOS "/>
        <s v="BIENESTAR LABORAL"/>
        <s v="CONTINUIDAD "/>
        <s v="HERRAMIENTAS "/>
        <s v="COMPETITIVIDAD"/>
        <s v="TRAZABILIDAD"/>
        <s v="RECONOCIMIENTO"/>
        <s v="INFLUENCIA "/>
        <s v="CONFIABILIDAD"/>
        <s v="CLIMA "/>
        <s v="SEGURIDAD"/>
        <s v="INVERSIÓN "/>
        <s v="NECESIDADES"/>
        <s v="LINEAMIENTOS "/>
        <s v="PATOGENOS EXTERNOS "/>
        <s v="CULTURA"/>
        <s v="ACCESIBILIDAD"/>
        <s v="OFERTA"/>
        <s v="CONTINUIDAD DE PROCESOS"/>
        <s v="POLITICAS"/>
        <s v="SEGURIDAD DE LA INFORMACION"/>
        <s v="AVANCES"/>
        <s v="MEDIOS DE COMUNICACIÓN"/>
        <s v="CARTERA"/>
        <s v="ENTES DE CONTROL"/>
        <s v="COMPETENCIA "/>
        <s v="OFERTA "/>
        <s v="NECESIDADES "/>
        <s v="LINEAMIENTOS"/>
        <s v="DEMANDA"/>
        <s v="AVANCES "/>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IANA ANGELICA MONTENEGRO BELTRAN" refreshedDate="44753.660236226853" createdVersion="6" refreshedVersion="6" minRefreshableVersion="3" recordCount="627" xr:uid="{00000000-000A-0000-FFFF-FFFF27000000}">
  <cacheSource type="worksheet">
    <worksheetSource ref="A1:G1674" sheet="CONSOLIDADO"/>
  </cacheSource>
  <cacheFields count="7">
    <cacheField name="ID" numFmtId="0">
      <sharedItems containsSemiMixedTypes="0" containsString="0" containsNumber="1" containsInteger="1" minValue="1" maxValue="665"/>
    </cacheField>
    <cacheField name="AÑO" numFmtId="1">
      <sharedItems containsSemiMixedTypes="0" containsString="0" containsNumber="1" containsInteger="1" minValue="2021" maxValue="2022" count="2">
        <n v="2021"/>
        <n v="2022"/>
      </sharedItems>
    </cacheField>
    <cacheField name="FACTOR" numFmtId="0">
      <sharedItems/>
    </cacheField>
    <cacheField name="PROCESO" numFmtId="0">
      <sharedItems/>
    </cacheField>
    <cacheField name="CAUSA" numFmtId="0">
      <sharedItems longText="1"/>
    </cacheField>
    <cacheField name="CLASIFICACIÓN" numFmtId="0">
      <sharedItems count="11">
        <s v="MÉTODO"/>
        <s v="TALENTO HUMANO "/>
        <s v="MANAGEMENT"/>
        <s v="MEDICIÓN "/>
        <s v="EQUIPO, TECNOLOGÍA E INFRAESTRUCTURA"/>
        <s v="MONEDA"/>
        <s v="INSUMOS"/>
        <s v="MEDIO AMBIENTE"/>
        <s v=" EQUIPO, TECNOLOGÍA E INFRAESTRUCTURA"/>
        <s v="MONEDA " u="1"/>
        <s v="METODO" u="1"/>
      </sharedItems>
    </cacheField>
    <cacheField name="SUBCLASIFICACIÓN" numFmtId="0">
      <sharedItems count="46">
        <s v="ARTICULACIÓN DE PROCESOS"/>
        <s v="TIEMPOS"/>
        <s v="GESTIÓN DEL CONOCIMIENTO"/>
        <s v="ESTRUCTURA ORGANICA "/>
        <s v="DIRECCIONAMIENTO ESTRATEGICO"/>
        <s v="SEGUIMIENTO Y CONTROL "/>
        <s v="TOMA DE CONCIENCIA "/>
        <s v="LIDERAZGO"/>
        <s v="SUFICIENCIA"/>
        <s v="INSTALACIONES"/>
        <s v="HERRAMIENTAS"/>
        <s v="PRESUPUESTO"/>
        <s v="COMUNICACIÓN "/>
        <s v="COMUNICACIÓN"/>
        <s v="GESTIÓN DEL CAMBIO"/>
        <s v="CONTINUIDAD DE PROCESOS"/>
        <s v="PLANIFICACION "/>
        <s v="SISTEMATIZACIÓN "/>
        <s v="COMPETENCIA"/>
        <s v="INFORMACIÓN"/>
        <s v="IMPLEMENTACIÓN"/>
        <s v="SOFTWARE Y PLATAFORMAS"/>
        <s v="UBICACIÓN Y ACCESO"/>
        <s v="OBSOLECENCIA "/>
        <s v="RESULTADOS"/>
        <s v="PROCEDIMIENTOS"/>
        <s v="CONSUMO  "/>
        <s v="NORMATIVIDAD"/>
        <s v="REDES"/>
        <s v="PLANIFICACIÓN "/>
        <s v="DOCUMENTACIÓN"/>
        <s v="APOYO DE TERCEROS"/>
        <s v="LIQUIDEZ"/>
        <s v="RELACIONAMIENTO"/>
        <s v="POSICIONAMIENTO"/>
        <s v="CONTINUIDAD"/>
        <s v="INDICADORES"/>
        <s v="DESARROLLO PROFESIONAL"/>
        <s v="BIENESTAR LABORAL "/>
        <s v="SISTEMATIZACION "/>
        <s v="HARDWARE"/>
        <s v="MEDIOS DE TRANSPORTE"/>
        <s v="BIENESTAR LABORAL"/>
        <s v="ROLES Y RESPONSABILIDADES"/>
        <s v="TRAZABILIDAD"/>
        <s v="TRANSPARENCIA"/>
      </sharedItems>
    </cacheField>
  </cacheFields>
  <extLst>
    <ext xmlns:x14="http://schemas.microsoft.com/office/spreadsheetml/2009/9/main" uri="{725AE2AE-9491-48be-B2B4-4EB974FC3084}">
      <x14:pivotCacheDefinition pivotCacheId="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IANA ANGELICA MONTENEGRO BELTRAN" refreshedDate="44753.676277314815" createdVersion="6" refreshedVersion="6" minRefreshableVersion="3" recordCount="332" xr:uid="{00000000-000A-0000-FFFF-FFFF28000000}">
  <cacheSource type="worksheet">
    <worksheetSource ref="A2:E334" sheet="DOFA CONSOLIDADO"/>
  </cacheSource>
  <cacheFields count="5">
    <cacheField name="FACTOR " numFmtId="0">
      <sharedItems/>
    </cacheField>
    <cacheField name="PROCESO" numFmtId="0">
      <sharedItems count="23">
        <s v="PROCESO GESTIÓN ADMISIONES Y REGISTRO"/>
        <s v="PROCESO GESTIÓN APOYO ACADÉMICO"/>
        <s v="PROCESO GESTIÓN AUTOEVALUACIÓN Y ACREDITACIÓN"/>
        <s v="PROCESO GESTIÓN BIENES Y SERVICIOS"/>
        <s v="PROCESO GESTIÓN BIENESTAR UNIVERSITARIO"/>
        <s v="PROCESO GESTIÓN CIENCIA, TECNOLOGÍA E INNOVACIÓN"/>
        <s v="PROCESO GESTIÓN COMUNICACIONES"/>
        <s v="PROCESO GESTIÓN DIALOGANDO CON EL MUNDO"/>
        <s v="PROCESO GESTIÓN CONTROL DISCIPLINARIO"/>
        <s v="PROCESO GESTIÓN CONTROL INTERNO"/>
        <s v="PROCESO GESTIÓN DE PROYECTOS ESPECIALES Y RELACIONES INTERINSTITUCIONALES"/>
        <s v="PROCESO GESTIÓN DOCUMENTAL"/>
        <s v="PROCESO GESTIÓN FINANCIERA"/>
        <s v="PROCESO GESTIÓN FORMACIÓN Y APRENDIZAJE "/>
        <s v="PROCESO GESTIÓN INTERACCIÓN UNIVERSITARIA"/>
        <s v="PROCESO GESTIÓN JURÍDICA"/>
        <s v="PROCESO GESTIÓN PLANEACIÓN INSTITUCIONAL"/>
        <s v="PROCESO GESTIÓN SERVICIO DE ATENCIÓN AL CIUDADANO"/>
        <s v="PROCESO GESTIÓN SISTEMAS INTEGRADOS "/>
        <s v="PROCESO GESTIÓN SISTEMAS Y TECNOLOGÍA"/>
        <s v="PROCESO GESTIÓN TALENTO HUMANO"/>
        <s v="PROCESO GESTIÓN SISTEMA DE LA SEGURIDAD Y SALUD EN EL TRABAJO"/>
        <s v="PROCESO GESTIÓN GRADUADOS"/>
      </sharedItems>
    </cacheField>
    <cacheField name="FACTOR" numFmtId="0">
      <sharedItems longText="1"/>
    </cacheField>
    <cacheField name="CLASIFICACION" numFmtId="0">
      <sharedItems count="8">
        <s v="MÉTODO"/>
        <s v="TALENTO HUMANO "/>
        <s v="MANAGEMENT"/>
        <s v="MEDICIÓN "/>
        <s v="EQUIPO, TECNOLOGÍA E INFRAESTRUCTURA"/>
        <s v="MONEDA"/>
        <s v="INSUMOS"/>
        <s v="MEDIO AMBIENTE"/>
      </sharedItems>
    </cacheField>
    <cacheField name="SUBCLASIFICACION" numFmtId="0">
      <sharedItems count="43">
        <s v="ARTICULACIÓN DE PROCESOS"/>
        <s v="TIEMPOS"/>
        <s v="GESTIÓN DEL CONOCIMIENTO"/>
        <s v="ESTRUCTURA ORGANICA "/>
        <s v="DIRECCIONAMIENTO ESTRATEGICO"/>
        <s v="SEGUIMIENTO Y CONTROL "/>
        <s v="TOMA DE CONCIENCIA "/>
        <s v="LIDERAZGO"/>
        <s v="SUFICIENCIA"/>
        <s v="INSTALACIONES"/>
        <s v="HERRAMIENTAS"/>
        <s v="PRESUPUESTO"/>
        <s v="COMUNICACIÓN "/>
        <s v="GESTIÓN DEL CAMBIO"/>
        <s v="CONTINUIDAD"/>
        <s v="PLANIFICACION "/>
        <s v="COMPETENCIA"/>
        <s v="INFORMACIÓN"/>
        <s v="IMPLEMENTACIÓN"/>
        <s v="SOFTWARE Y PLATAFORMAS"/>
        <s v="UBICACIÓN Y ACCESO"/>
        <s v="OBSOLECENCIA "/>
        <s v="RESULTADOS"/>
        <s v="PROCEDIMIENTOS"/>
        <s v="CONSUMO  "/>
        <s v="NORMATIVIDAD"/>
        <s v="REDES"/>
        <s v="APOYO DE TERCEROS"/>
        <s v="LIQUIDEZ"/>
        <s v="DOCUMENTACIÓN"/>
        <s v="RELACIONAMIENTO"/>
        <s v="POSICIONAMIENTO"/>
        <s v="DESARROLLO PROFESIONAL"/>
        <s v="BIENESTAR LABORAL "/>
        <s v="INDICADORES"/>
        <s v="SISTEMATIZACION "/>
        <s v="HARDWARE"/>
        <s v="MEDIOS DE TRANSPORTE"/>
        <s v="ROLES Y RESPONSABILIDADES"/>
        <s v="TRANSPARENCIA"/>
        <s v="BIENESTAR LABORAL" u="1"/>
        <s v="COMUNICACIÓN" u="1"/>
        <s v="CONTINUIDAD DE PROCESOS"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27">
  <r>
    <x v="0"/>
    <s v="F1. Construcción y Disponibilidad de información estadística. "/>
    <x v="0"/>
    <x v="0"/>
  </r>
  <r>
    <x v="0"/>
    <s v="F10. Se panifican las actividades del proceso mediante el calendario académico"/>
    <x v="1"/>
    <x v="1"/>
  </r>
  <r>
    <x v="0"/>
    <s v="F11. Se cuenta con indicadores que miden la gestión del proceso"/>
    <x v="2"/>
    <x v="2"/>
  </r>
  <r>
    <x v="0"/>
    <s v="F12. Se comunica a las partes interesadas la actualización documental del proceso"/>
    <x v="0"/>
    <x v="3"/>
  </r>
  <r>
    <x v="0"/>
    <s v="F13. Personal suficiente para cumplir con los objetivos del proceso"/>
    <x v="3"/>
    <x v="4"/>
  </r>
  <r>
    <x v="0"/>
    <s v="F14. Se aplica los procesos de selección a aspirantes vulnerables, se asegura el 1% de ingreso a los aspirantes de los municipios de difícil acceso"/>
    <x v="0"/>
    <x v="5"/>
  </r>
  <r>
    <x v="0"/>
    <s v="F15. Se brinda atención personalizada a la población estudiantil en condiciones de discapacidad o desventaja (aspirantes - estudiantes) "/>
    <x v="3"/>
    <x v="6"/>
  </r>
  <r>
    <x v="0"/>
    <s v="F16. Se fortalece el desarrollo de la Translocalidad en el proceso, se participa en ferias universitarias"/>
    <x v="1"/>
    <x v="7"/>
  </r>
  <r>
    <x v="0"/>
    <s v="F17. Se aplican y se cumplen con los procesos de selección: ICFES - evaluación mediante dos momentos: entrevista virtual - entrevista personal."/>
    <x v="0"/>
    <x v="8"/>
  </r>
  <r>
    <x v="0"/>
    <s v="F18. Se participa en las pausas activas para el bienestar de los funcionarios"/>
    <x v="4"/>
    <x v="9"/>
  </r>
  <r>
    <x v="0"/>
    <s v="F19. Se cuenta con pasantes para el apoyo del cumplimiento de objetivos y metas del proceso"/>
    <x v="3"/>
    <x v="10"/>
  </r>
  <r>
    <x v="0"/>
    <s v="F2. Liderazgo centralizado en la Sede Principal. "/>
    <x v="1"/>
    <x v="11"/>
  </r>
  <r>
    <x v="0"/>
    <s v="F2. Promoción y divulgación de los programas en la Universidad de manera virtual. "/>
    <x v="0"/>
    <x v="3"/>
  </r>
  <r>
    <x v="0"/>
    <s v="F3.Capacitaciones y socializaciones de los procedimientos de la oficina de admisiones en el equipo de trabajo"/>
    <x v="3"/>
    <x v="12"/>
  </r>
  <r>
    <x v="0"/>
    <s v="F4. Aplicativo informático Academusoft y los desarrollos informáticos que sistematiza la operatividad del proceso"/>
    <x v="5"/>
    <x v="13"/>
  </r>
  <r>
    <x v="0"/>
    <s v="F5. Claridad en el plan de acción del proceso, ya se establecieron metas para la vigencia actual"/>
    <x v="1"/>
    <x v="1"/>
  </r>
  <r>
    <x v="0"/>
    <s v="F6. Distribución de Funciones de acuerdo a las habilidades del personal"/>
    <x v="3"/>
    <x v="14"/>
  </r>
  <r>
    <x v="0"/>
    <s v="F7. Aumento y aprobación del presupuesto acorde a las necesidades del proceso"/>
    <x v="6"/>
    <x v="15"/>
  </r>
  <r>
    <x v="0"/>
    <s v="F8. Se cuenta con backups para la seguridad y trazabilidad de la información."/>
    <x v="0"/>
    <x v="0"/>
  </r>
  <r>
    <x v="0"/>
    <s v="F9. El proceso conoce y trabaja bajo la normatividad interna y externa"/>
    <x v="0"/>
    <x v="16"/>
  </r>
  <r>
    <x v="1"/>
    <s v="F1. Sistema de Gestión Bibliotecaria"/>
    <x v="5"/>
    <x v="13"/>
  </r>
  <r>
    <x v="1"/>
    <s v="F10. La documentación del proceso está actualizada y divulgada."/>
    <x v="0"/>
    <x v="17"/>
  </r>
  <r>
    <x v="1"/>
    <s v="F11. Aplicativos que optimizan la operatividad del proceso y garantizan un eficiente servicio a las partes interesadas."/>
    <x v="5"/>
    <x v="13"/>
  </r>
  <r>
    <x v="1"/>
    <s v="F12. Se planifican las actividades del proceso."/>
    <x v="1"/>
    <x v="1"/>
  </r>
  <r>
    <x v="1"/>
    <s v="F13. Acciones encaminadas al cumplimiento de la política de inclusión: Tips de comunicación asertiva inclusiva en braille en seccionales y extensiones - encuesta de inclusión en página web institucional. "/>
    <x v="0"/>
    <x v="5"/>
  </r>
  <r>
    <x v="1"/>
    <s v="F15. Actualización de los espacios académicos (las aulas cuentan con ayudas académicas). "/>
    <x v="5"/>
    <x v="18"/>
  </r>
  <r>
    <x v="1"/>
    <s v="F16. Suficiencia de personal que apoya las actividades en pro del cumplimiento del objetivo y las metas del proceso."/>
    <x v="3"/>
    <x v="4"/>
  </r>
  <r>
    <x v="1"/>
    <s v="F17. Se realizan inducciones y reinducciones a los funcionarios del proceso. "/>
    <x v="3"/>
    <x v="12"/>
  </r>
  <r>
    <x v="1"/>
    <s v="F18. Calidad en la prestación del servicio hacia las partes interesadas. "/>
    <x v="1"/>
    <x v="19"/>
  </r>
  <r>
    <x v="1"/>
    <s v="F19. Se promueve hábitos saludables y se asiste a pausas activas. "/>
    <x v="3"/>
    <x v="12"/>
  </r>
  <r>
    <x v="1"/>
    <s v="F2. Personal capacitado y competente para la realización de actividades"/>
    <x v="3"/>
    <x v="20"/>
  </r>
  <r>
    <x v="1"/>
    <s v="F20. Biblioteca nueva - sede Fusagasugá que acoge las necesidades de la comunidad universitaria y se alinea a la política de inclusión"/>
    <x v="5"/>
    <x v="21"/>
  </r>
  <r>
    <x v="1"/>
    <s v="F21. Se conoce y se aplica la normatividad al proceso."/>
    <x v="0"/>
    <x v="16"/>
  </r>
  <r>
    <x v="1"/>
    <s v="F3. Sistemas de producción acordes con la preservación del medio ambiente, que permiten el desarrollo de la ciencia tecnología e innovación (Granja La Esperanza)"/>
    <x v="0"/>
    <x v="8"/>
  </r>
  <r>
    <x v="1"/>
    <s v="F4. Alto compromiso del equipo de trabajo para brindar un servicio de calidad a la comunidad académica, administrativa y externa"/>
    <x v="3"/>
    <x v="6"/>
  </r>
  <r>
    <x v="1"/>
    <s v="F5. Actualización e innovación permanente de los servicios bibliotecarios"/>
    <x v="0"/>
    <x v="8"/>
  </r>
  <r>
    <x v="1"/>
    <s v="F6. Servicios en línea orientados a dar respuestas oportunas a la necesidades de la comunidad académica"/>
    <x v="0"/>
    <x v="3"/>
  </r>
  <r>
    <x v="1"/>
    <s v="F7. Se delegan funciones y se propicia un buen clima de trabajo."/>
    <x v="5"/>
    <x v="14"/>
  </r>
  <r>
    <x v="1"/>
    <s v="F8. El proceso cuenta con software  para el desarrollo de las actividades."/>
    <x v="5"/>
    <x v="13"/>
  </r>
  <r>
    <x v="1"/>
    <s v="F9. Se cuenta con canales claros de comunicación."/>
    <x v="0"/>
    <x v="3"/>
  </r>
  <r>
    <x v="2"/>
    <s v="F1:Competencia del personal que integra el proceso."/>
    <x v="3"/>
    <x v="20"/>
  </r>
  <r>
    <x v="2"/>
    <s v="F10. Digitalización en las actividades del proceso"/>
    <x v="0"/>
    <x v="22"/>
  </r>
  <r>
    <x v="2"/>
    <s v="F11. Documentación publica, actual y veraz"/>
    <x v="0"/>
    <x v="17"/>
  </r>
  <r>
    <x v="2"/>
    <s v="F12. Backups de la información"/>
    <x v="0"/>
    <x v="22"/>
  </r>
  <r>
    <x v="2"/>
    <s v="F13. Respuesta oportuna y clara a procesos internos y externos"/>
    <x v="0"/>
    <x v="3"/>
  </r>
  <r>
    <x v="2"/>
    <s v="F14. Planificación de las actividades a realizar durante el semestre acorde con las diferentes partes interesadas involucradas en los procesos de Autoevaluación y Acreditación"/>
    <x v="1"/>
    <x v="1"/>
  </r>
  <r>
    <x v="2"/>
    <s v="F15. Actualización periódica normativa aplicable al proceso"/>
    <x v="0"/>
    <x v="16"/>
  </r>
  <r>
    <x v="2"/>
    <s v="F16. Los indicadores reflejan el desempeño del proceso y aportan al cumplimiento del plan rectoral y el plan estratégico"/>
    <x v="2"/>
    <x v="2"/>
  </r>
  <r>
    <x v="2"/>
    <s v="F17. Oferta de pasantías y monitorias para el apoyo de las actividades"/>
    <x v="3"/>
    <x v="10"/>
  </r>
  <r>
    <x v="2"/>
    <s v="F18. Implementación de la Escuela de Formación y Aprendizaje Docente"/>
    <x v="0"/>
    <x v="5"/>
  </r>
  <r>
    <x v="2"/>
    <s v="F19. Amplio conocimiento y apoyo en los procesos de resignificación curricular de los programas académicos"/>
    <x v="3"/>
    <x v="20"/>
  </r>
  <r>
    <x v="2"/>
    <s v="F2: Documentos internos que soportan los procesos de registro calificado, condiciones iniciales de acreditación de programas y ejercicios de autoevaluación"/>
    <x v="0"/>
    <x v="17"/>
  </r>
  <r>
    <x v="2"/>
    <s v="F20. Modulo de Aseguramiento de la Calidad Educativa"/>
    <x v="5"/>
    <x v="13"/>
  </r>
  <r>
    <x v="2"/>
    <s v="F21. Se cuenta con un alto porcentaje de participación de la comunidad académica en los procesos de autoevaluación y las encuestas de percepción"/>
    <x v="3"/>
    <x v="10"/>
  </r>
  <r>
    <x v="2"/>
    <s v="F22. El proceso cuenta con el personal requerido acorde con las necesidades y actividades que se desarrollan"/>
    <x v="3"/>
    <x v="4"/>
  </r>
  <r>
    <x v="2"/>
    <s v="F23. Se fortalecen los procesos de capacitación y aprendizaje continuo en temas afines del proceso mediante las redes en las cuales tiene presencia la Universidad (Por ejemplo: FODESEP)"/>
    <x v="3"/>
    <x v="12"/>
  </r>
  <r>
    <x v="2"/>
    <s v="F24. Apropiación del concepto transhumanidad mediante el MEDIT"/>
    <x v="3"/>
    <x v="6"/>
  </r>
  <r>
    <x v="2"/>
    <s v="F25. La asignación del rubro presupuestal es apta para el desarrollo las actividades"/>
    <x v="6"/>
    <x v="15"/>
  </r>
  <r>
    <x v="2"/>
    <s v="F26. Se asegura la gestión del conocimiento con todos los integrantes del proceso"/>
    <x v="3"/>
    <x v="23"/>
  </r>
  <r>
    <x v="2"/>
    <s v="F27. Proceso de resignificación curricular y autoevaluación con la apropiación del concepto transmodernidad"/>
    <x v="0"/>
    <x v="5"/>
  </r>
  <r>
    <x v="2"/>
    <s v="F28. Documentos que soporten la proyección de nueva oferta académica en la institución"/>
    <x v="0"/>
    <x v="17"/>
  </r>
  <r>
    <x v="2"/>
    <s v="F29. Identificación e implementación de estrategias que permitan la acreditación en alta calidad y la acreditación institucional"/>
    <x v="1"/>
    <x v="1"/>
  </r>
  <r>
    <x v="2"/>
    <s v="F3: Estrategias metodológicas para dar a conocer a la comunidad académica la normatividad, documentos, guías y formatos entre otros del  MEN y CNA."/>
    <x v="1"/>
    <x v="24"/>
  </r>
  <r>
    <x v="2"/>
    <s v="F4: Reconocimiento a nivel de plan estratégico y modelo de operación al proceso de autoevaluación y acreditación."/>
    <x v="1"/>
    <x v="1"/>
  </r>
  <r>
    <x v="2"/>
    <s v="F5: Ambiente de trabajo agradable y armónico. "/>
    <x v="4"/>
    <x v="9"/>
  </r>
  <r>
    <x v="2"/>
    <s v="F6: Liderazgo funcional por parte del Gestor responsable."/>
    <x v="1"/>
    <x v="11"/>
  </r>
  <r>
    <x v="2"/>
    <s v="F7. Seguimiento estricto a los lineamientos del MEN y CNA"/>
    <x v="2"/>
    <x v="25"/>
  </r>
  <r>
    <x v="2"/>
    <s v="F8. Cumplimiento y compromiso con las actividades del proceso"/>
    <x v="3"/>
    <x v="14"/>
  </r>
  <r>
    <x v="2"/>
    <s v="F9. Adecuación de espacios y equipos para el desarrollo de actividades"/>
    <x v="5"/>
    <x v="21"/>
  </r>
  <r>
    <x v="3"/>
    <s v="F1. Los lineamientos y normas legales se actualizan periódicamente y se les da cumplimiento en las prácticas del proceso."/>
    <x v="0"/>
    <x v="16"/>
  </r>
  <r>
    <x v="3"/>
    <s v="F10. Constante actualización de procedimientos y formatos del proceso."/>
    <x v="0"/>
    <x v="17"/>
  </r>
  <r>
    <x v="3"/>
    <s v="F11. Estricta sujeción a las normas establecidas en materia de contratación   (Manual de Contratación, Estatuto de Contratación)"/>
    <x v="0"/>
    <x v="16"/>
  </r>
  <r>
    <x v="3"/>
    <s v="F12. Existen indicadores para medir la eficacia y eficiencia del proceso, los cuales se miden de manera objetiva para tomar las acciones necesarias que permitan obtener los resultados previstos y aportar al logro de los objetivos institucionales."/>
    <x v="2"/>
    <x v="2"/>
  </r>
  <r>
    <x v="3"/>
    <s v="F13. Existe retroalimentación de las conclusiones al análisis de los indicadores para la formulación o reformulación de los planes de mejora."/>
    <x v="2"/>
    <x v="2"/>
  </r>
  <r>
    <x v="3"/>
    <s v="F14. Se asegura por medio de mesas de trabajo la gestión del conocimiento al interior del proceso."/>
    <x v="3"/>
    <x v="23"/>
  </r>
  <r>
    <x v="3"/>
    <s v="F15. Existe y se conoce el direccionamiento estratégico de la universidad."/>
    <x v="1"/>
    <x v="24"/>
  </r>
  <r>
    <x v="3"/>
    <s v="F16. Las actividades a realizar en el transcurso del semestre son planificadas y socializadas por medio de mesas de trabajo con el personal."/>
    <x v="1"/>
    <x v="1"/>
  </r>
  <r>
    <x v="3"/>
    <s v="F17. Se aplican diversas políticas y estrategias institucionales al interior del proceso, con el fin de aportar a la Alta Dirección en el logro de los objetivos previstos"/>
    <x v="1"/>
    <x v="24"/>
  </r>
  <r>
    <x v="3"/>
    <s v="F18. Personal altamente calificado en las áreas que componen el proceso"/>
    <x v="3"/>
    <x v="20"/>
  </r>
  <r>
    <x v="3"/>
    <s v="F19. Planificacion de las actividads de contratacion para la universidadd por medio del Plan Anual de Adquisiciones lo que permite asegurar los recursos necesarios con tiempo y promover la ejecucion oportuna de los proyectos que se establecen "/>
    <x v="1"/>
    <x v="1"/>
  </r>
  <r>
    <x v="3"/>
    <s v="F2. Implementación de  Tecnologías de la Información en los procesos"/>
    <x v="5"/>
    <x v="13"/>
  </r>
  <r>
    <x v="3"/>
    <s v="F2. Implementación de  Tecnologías de la Información en los procesos"/>
    <x v="5"/>
    <x v="13"/>
  </r>
  <r>
    <x v="3"/>
    <s v="F3. Se tiene en cuenta la oferta de pasantes para el apoyo de las actividades operativas de algunas áreas del proceso"/>
    <x v="3"/>
    <x v="10"/>
  </r>
  <r>
    <x v="3"/>
    <s v="F4. Desarrollo de programas  de bienestar laboral  que brindan  un ambiente laboral adecuado para el desarrollo de las actividades."/>
    <x v="4"/>
    <x v="9"/>
  </r>
  <r>
    <x v="3"/>
    <s v="F4. Desarrollo de programas de bienestar laboral que brindan un entorno adecuado para el desarrollo de las actividades."/>
    <x v="4"/>
    <x v="9"/>
  </r>
  <r>
    <x v="3"/>
    <s v="F5. Por la forma de contratación del personal que es a termino fijo, se pueden asignar las funciones para hacer una carga equilibrada en cada puesto de trabajo."/>
    <x v="3"/>
    <x v="14"/>
  </r>
  <r>
    <x v="3"/>
    <s v="F6.  Se cuenta con un manual de funciones que estructura las actividades laborales para los funcionarios."/>
    <x v="3"/>
    <x v="14"/>
  </r>
  <r>
    <x v="3"/>
    <s v="F6. Colaboradores comprometidos con el proceso y las mejoras que se deban implementar."/>
    <x v="3"/>
    <x v="6"/>
  </r>
  <r>
    <x v="3"/>
    <s v="F7. Baja rotación laboral  permitiendo la continuidad en el desarrollo de las actividades."/>
    <x v="3"/>
    <x v="26"/>
  </r>
  <r>
    <x v="3"/>
    <s v="F8. Se realiza mantenimiento preventivo y/o correctivo de los elementos que dispone el proceso."/>
    <x v="5"/>
    <x v="18"/>
  </r>
  <r>
    <x v="3"/>
    <s v="F9. Canales de comunicación claramente establecidos y definidos para el desarollo de las actividades."/>
    <x v="0"/>
    <x v="3"/>
  </r>
  <r>
    <x v="4"/>
    <s v="F1. Equipo de trabajo competente y disponible para el desarrollo de las actividades"/>
    <x v="3"/>
    <x v="20"/>
  </r>
  <r>
    <x v="4"/>
    <s v="F10. Se asegura oportunamente la Gestión del Conocimiento al interior del proceso."/>
    <x v="3"/>
    <x v="12"/>
  </r>
  <r>
    <x v="4"/>
    <s v="F11. Canales de comunicación claramente establecidos y asertivos para el desarollo de las actividades."/>
    <x v="0"/>
    <x v="3"/>
  </r>
  <r>
    <x v="4"/>
    <s v="F12. La normatividad aplicable al proceso se conoce y es actualizada periodicamente."/>
    <x v="0"/>
    <x v="16"/>
  </r>
  <r>
    <x v="4"/>
    <s v="F13. Cumplimiento  y ejecución a las actividades de acuerdo a los requisitos e información  contemplad en los procedimientos y documentos del proceso."/>
    <x v="0"/>
    <x v="5"/>
  </r>
  <r>
    <x v="4"/>
    <s v="F14. El proceso opera de manera articulada al logro de  los objetivos institucionales."/>
    <x v="0"/>
    <x v="27"/>
  </r>
  <r>
    <x v="4"/>
    <s v="F15. Existe retroalimentación de las conclusiones al análisis de los indicadores para la formulación o reformulación de los planes de mejora."/>
    <x v="2"/>
    <x v="2"/>
  </r>
  <r>
    <x v="4"/>
    <s v="F16. El direccionamiento estratégico de la universidad es conocido y aplicado mediante acciones concretas por el proceso."/>
    <x v="1"/>
    <x v="24"/>
  </r>
  <r>
    <x v="4"/>
    <s v="F17. Las actividades a realizar en el proceso durante el semestre son planificadas."/>
    <x v="1"/>
    <x v="1"/>
  </r>
  <r>
    <x v="4"/>
    <s v="F18. Interes por parte de los Directores de Programa y Decanos para apoyar las actividades planteadas"/>
    <x v="3"/>
    <x v="6"/>
  </r>
  <r>
    <x v="4"/>
    <s v="F2. La articulación del proceso con las políticas misionales encaminadas al desarrollo institucional (Ciencia, Tecnología e Investigación, Dialogando con el Mundo, Interacción Social Universitaria, Inclusión entre otras)"/>
    <x v="0"/>
    <x v="27"/>
  </r>
  <r>
    <x v="4"/>
    <s v="F3. Campañas de Promoción y Prevención para la Comunidad Universitaria"/>
    <x v="0"/>
    <x v="3"/>
  </r>
  <r>
    <x v="4"/>
    <s v="F4. Aplicación de estrategias por parte del proceso, dirigidas a abordar temas relacionados con la Inclusión en la Institución"/>
    <x v="1"/>
    <x v="24"/>
  </r>
  <r>
    <x v="4"/>
    <s v="F5. Plataforma SIPSE"/>
    <x v="5"/>
    <x v="13"/>
  </r>
  <r>
    <x v="4"/>
    <s v="F6. El proceso desarrolla acciones que aportan a la transformación del ser humano, a ser mejores personas y poder trabajar de la mano con los demás"/>
    <x v="4"/>
    <x v="9"/>
  </r>
  <r>
    <x v="4"/>
    <s v="F7. Programas de Formación Integral que brindan al estudiante la posibilidad de mejorar su calidad de vida universitaria mediante actividades de interés ."/>
    <x v="0"/>
    <x v="8"/>
  </r>
  <r>
    <x v="4"/>
    <s v="F8. Desarrollo de programas  de bienestar laboral  que brindan  un ambiente propicio para el desarrollo de las actividades."/>
    <x v="4"/>
    <x v="9"/>
  </r>
  <r>
    <x v="4"/>
    <s v="F9.  Funciones designadas de manera equilibrada para cada puesto de trabajo estableciendo roles , responsabilidades y perfil del personal contratado."/>
    <x v="3"/>
    <x v="14"/>
  </r>
  <r>
    <x v="5"/>
    <s v="F1 - Implementación y aplicación de Políticas y normatividades legales dentro del desarrollo del Proceso"/>
    <x v="0"/>
    <x v="16"/>
  </r>
  <r>
    <x v="5"/>
    <s v="F10 - Personal administrativo competente para las actividades de Investigación "/>
    <x v="3"/>
    <x v="20"/>
  </r>
  <r>
    <x v="5"/>
    <s v="F11 - Convocatorias permanentes de Proyectos de Investigación internas."/>
    <x v="1"/>
    <x v="28"/>
  </r>
  <r>
    <x v="5"/>
    <s v="F12 - Disponibilidad de recursos económicos para la transferencia de resultados"/>
    <x v="6"/>
    <x v="29"/>
  </r>
  <r>
    <x v="5"/>
    <s v="F13 - Prestigio conseguido por la universidad por su liderazgo cultural y su compromiso social"/>
    <x v="1"/>
    <x v="7"/>
  </r>
  <r>
    <x v="5"/>
    <s v="F14 - Presencia privilegiada de la universidad en las regiones del Departamento"/>
    <x v="1"/>
    <x v="7"/>
  </r>
  <r>
    <x v="5"/>
    <s v="F15 - Instalaciones deportivas que facilitan la investigación en la formación de deportistas de alto rendimiento"/>
    <x v="5"/>
    <x v="21"/>
  </r>
  <r>
    <x v="5"/>
    <s v="F16 - Reconocimiento y categorización de los grupos de investigación por Colciencias"/>
    <x v="1"/>
    <x v="7"/>
  </r>
  <r>
    <x v="5"/>
    <s v="F17 - El incremento de los Investigadores categorizados por Colciencias. "/>
    <x v="3"/>
    <x v="20"/>
  </r>
  <r>
    <x v="5"/>
    <s v="F18 - Se cuenta con investigadores y coordinadores de investigación para cada una de la sede, seccionales y extensiones de la Universidad de Cundinamarca. "/>
    <x v="3"/>
    <x v="4"/>
  </r>
  <r>
    <x v="5"/>
    <s v="F19 - Roles, responsabilidades y autoridades establecidas dentro del proceso."/>
    <x v="3"/>
    <x v="14"/>
  </r>
  <r>
    <x v="5"/>
    <s v="F2 - Infraestructura tecnológica"/>
    <x v="5"/>
    <x v="13"/>
  </r>
  <r>
    <x v="5"/>
    <s v="F20 - Bienestar laboral propicio para el personal administrativo."/>
    <x v="4"/>
    <x v="9"/>
  </r>
  <r>
    <x v="5"/>
    <s v="F21 - Información y documentación disponible, segura, confiable, actualizada y verificable "/>
    <x v="0"/>
    <x v="17"/>
  </r>
  <r>
    <x v="5"/>
    <s v="F22 - Indicadores establecidos para medir los resultados de la  gestión "/>
    <x v="2"/>
    <x v="2"/>
  </r>
  <r>
    <x v="5"/>
    <s v="F23 - Planificación de actividades a realizar en el semestre"/>
    <x v="1"/>
    <x v="1"/>
  </r>
  <r>
    <x v="5"/>
    <s v="F24 - Se cuenta con un mecanismo que permite el reconocimiento y estímulo económico para profesores y estudiantes que participen en proyectos."/>
    <x v="6"/>
    <x v="29"/>
  </r>
  <r>
    <x v="5"/>
    <s v="F25- Implementación del Fondo Ciencia, Tecnología e Innovación. "/>
    <x v="1"/>
    <x v="7"/>
  </r>
  <r>
    <x v="5"/>
    <s v="F26- Trabajo colaborativo para el cumplimiento de las actividades propuestas. "/>
    <x v="1"/>
    <x v="11"/>
  </r>
  <r>
    <x v="5"/>
    <s v="F3 - Relaciones de la Universidad con la Sociedad"/>
    <x v="1"/>
    <x v="19"/>
  </r>
  <r>
    <x v="5"/>
    <s v="F4 - Convenios internacionales"/>
    <x v="1"/>
    <x v="28"/>
  </r>
  <r>
    <x v="5"/>
    <s v="F5 - Oficina de interacción universitaria  facilitadora de socialización y apropiación del conocimiento de los resultados de investigación por parte de los usuarios."/>
    <x v="3"/>
    <x v="6"/>
  </r>
  <r>
    <x v="5"/>
    <s v="F6 - Espacio de Investigación en el portal web de la Ucundinamarca. "/>
    <x v="5"/>
    <x v="13"/>
  </r>
  <r>
    <x v="5"/>
    <s v="F7 - Modulo de Proyectos de Investigación en la plataforma institucional"/>
    <x v="5"/>
    <x v="13"/>
  </r>
  <r>
    <x v="5"/>
    <s v="F8 - Gestión Documental al día y organizada"/>
    <x v="0"/>
    <x v="17"/>
  </r>
  <r>
    <x v="5"/>
    <s v="F9 - Trazabilidad de las convocatorias y proyectos de investigación"/>
    <x v="2"/>
    <x v="30"/>
  </r>
  <r>
    <x v="6"/>
    <s v="F1 :La oficina de comunicaciones cuenta con una infraestructura física adecuada en lo que se refiere a espacios e iluminación."/>
    <x v="5"/>
    <x v="21"/>
  </r>
  <r>
    <x v="6"/>
    <s v="F10: Aceptación y acogida del material que se produce en la oficina"/>
    <x v="3"/>
    <x v="6"/>
  </r>
  <r>
    <x v="6"/>
    <s v="F11. Planificación y designación de actividades conforme con los diferentes perfiles profesionales con los que cuenta la Oficina Asesora de Comunicaciones"/>
    <x v="3"/>
    <x v="14"/>
  </r>
  <r>
    <x v="6"/>
    <s v="F12. Se generan ambientes que fomentan el respeto y aprendizaje continuo dentro del proceso"/>
    <x v="4"/>
    <x v="9"/>
  </r>
  <r>
    <x v="6"/>
    <s v="F13. Se realizan backups de la información para la conservación del material digital y las actividades operativas del proceso"/>
    <x v="0"/>
    <x v="0"/>
  </r>
  <r>
    <x v="6"/>
    <s v="F14. Respuesta oportuna en las actividades y solicitudes del proceso"/>
    <x v="0"/>
    <x v="31"/>
  </r>
  <r>
    <x v="6"/>
    <s v="F15.Los indicadores reflejan el desempeño del proceso y aportan al cumplimiento del plan rectoral y el plan estratégico"/>
    <x v="2"/>
    <x v="2"/>
  </r>
  <r>
    <x v="6"/>
    <s v="F16. Divulgación de las políticas institucionales en los medios de comunicación de la institución"/>
    <x v="0"/>
    <x v="3"/>
  </r>
  <r>
    <x v="6"/>
    <s v="F17. Creación de contenido enfocado en sensibilizar e informar a los estudiantes sobre el desempeño institucional, temas culturales e internacionales"/>
    <x v="3"/>
    <x v="6"/>
  </r>
  <r>
    <x v="6"/>
    <s v="F18. Desarrollo de micro sitios para las dependencias con el objetivo de generar mayor visibilidad en las actividades"/>
    <x v="5"/>
    <x v="13"/>
  </r>
  <r>
    <x v="6"/>
    <s v="F19. Producción de contenido radial y visual a toda la comunidad universitaria con enfoque inclusivo "/>
    <x v="0"/>
    <x v="3"/>
  </r>
  <r>
    <x v="6"/>
    <s v="F2: Equipo humano competente con las exigencias actuales para producir contenido de calidad"/>
    <x v="3"/>
    <x v="20"/>
  </r>
  <r>
    <x v="6"/>
    <s v="F20. Se cuenta con gestores que apoyan las actividades del proceso en seccionales y extensiones"/>
    <x v="3"/>
    <x v="4"/>
  </r>
  <r>
    <x v="6"/>
    <s v="F3: Uso de varios recursos de comunicación (web, intranet, correos masivos, redes sociales, carteleras digitales, periódico, producción audiovisual)"/>
    <x v="5"/>
    <x v="13"/>
  </r>
  <r>
    <x v="6"/>
    <s v="F4: Aplicación institucional para la gestión de las solicitudes internas de comunicación."/>
    <x v="5"/>
    <x v="13"/>
  </r>
  <r>
    <x v="6"/>
    <s v="F5: Variedad de servicios con el fin de satisfacer las necesidades de comunicación del usuario interno( producción audiovisual, cubrimiento de eventos, relacionamiento con los medios de comunicación)"/>
    <x v="5"/>
    <x v="18"/>
  </r>
  <r>
    <x v="6"/>
    <s v="F6. Portal institucional actualizado (programas de pregrado y posgrados, cursos de educación continuada e información de interés de la institución) con base en las necesidades de información de los grupos de interés (estudiantes, docentes, administrativos, graduados, etc.)"/>
    <x v="5"/>
    <x v="13"/>
  </r>
  <r>
    <x v="6"/>
    <s v="F7: Cumplimiento de requisitos legales en el portal web (acceso a la información pública)"/>
    <x v="0"/>
    <x v="16"/>
  </r>
  <r>
    <x v="6"/>
    <s v="F8: El portal institucional tiene alrededor de 12 mil usuarios. Es un buen indicador para una comunidad de 14 mil personas aproximadamente. Es un medio que tiene reconocimiento y posicionamiento."/>
    <x v="2"/>
    <x v="32"/>
  </r>
  <r>
    <x v="6"/>
    <s v="F9: Recurrencia en el uso de la herramientas SIS para la solicitud de servicios de la oficina de comunicaciones. "/>
    <x v="5"/>
    <x v="13"/>
  </r>
  <r>
    <x v="7"/>
    <s v="F.16 Se cuenta con metas claras y precisas para el cumplimiento del plan estratégico"/>
    <x v="1"/>
    <x v="1"/>
  </r>
  <r>
    <x v="7"/>
    <s v="F.17 Se actualizan periódicamente los requisitos legales aplicables al proceso. "/>
    <x v="0"/>
    <x v="16"/>
  </r>
  <r>
    <x v="7"/>
    <s v="F1. Recurso Humano idóneo en conocimiento y actualización de saberes propios de implicación directa con las funciones de la oficina. "/>
    <x v="3"/>
    <x v="20"/>
  </r>
  <r>
    <x v="7"/>
    <s v="F10. Se realiza mantenimiento preventivo a los equipos de la oficina."/>
    <x v="5"/>
    <x v="33"/>
  </r>
  <r>
    <x v="7"/>
    <s v="F11. La documentación del proceso se encuentra de manera digital."/>
    <x v="0"/>
    <x v="22"/>
  </r>
  <r>
    <x v="7"/>
    <s v="F12. Se cuenta con canales claros de comunicación."/>
    <x v="0"/>
    <x v="3"/>
  </r>
  <r>
    <x v="7"/>
    <s v="F13. Los métodos de contratación y compras de la universidad son pertinentes."/>
    <x v="0"/>
    <x v="34"/>
  </r>
  <r>
    <x v="7"/>
    <s v="F14. Existen indicadores para medir la eficacia y eficiencia del proceso."/>
    <x v="2"/>
    <x v="2"/>
  </r>
  <r>
    <x v="7"/>
    <s v="F15. En el proceso se promueve el bienestar laboral / hábitos saludables."/>
    <x v="3"/>
    <x v="9"/>
  </r>
  <r>
    <x v="7"/>
    <s v="F2. Recurso económico suficiente para las actividades de la oficina."/>
    <x v="6"/>
    <x v="15"/>
  </r>
  <r>
    <x v="7"/>
    <s v="F3. Criterio jurídico, asertivo y objetivo."/>
    <x v="3"/>
    <x v="20"/>
  </r>
  <r>
    <x v="7"/>
    <s v="F4. Procedimientos documentados."/>
    <x v="0"/>
    <x v="17"/>
  </r>
  <r>
    <x v="7"/>
    <s v="F5. Herramientas tecnológicas suficientes para el cumplimiento dela función. "/>
    <x v="5"/>
    <x v="18"/>
  </r>
  <r>
    <x v="7"/>
    <s v="F6. Ubicación geográfica estratégica."/>
    <x v="5"/>
    <x v="35"/>
  </r>
  <r>
    <x v="7"/>
    <s v="F7. Fácil acceso a la publicación de comunicaciones en la página WEB."/>
    <x v="5"/>
    <x v="13"/>
  </r>
  <r>
    <x v="7"/>
    <s v="F8. Se han desarrollado procesos de capacitación a los funcionarios."/>
    <x v="3"/>
    <x v="12"/>
  </r>
  <r>
    <x v="7"/>
    <s v="F9. Se delegan funciones y se propicia un buen clima de trabajo."/>
    <x v="3"/>
    <x v="14"/>
  </r>
  <r>
    <x v="8"/>
    <s v="F1. Liderazgo del Gestor Responsable."/>
    <x v="1"/>
    <x v="11"/>
  </r>
  <r>
    <x v="8"/>
    <s v="F10. Aplicativo institucional para las actividades de la oficina."/>
    <x v="5"/>
    <x v="13"/>
  </r>
  <r>
    <x v="8"/>
    <s v="F11. Backups de la información de la oficina."/>
    <x v="0"/>
    <x v="0"/>
  </r>
  <r>
    <x v="8"/>
    <s v="F12. Documentación del proceso publicada, actualizada y veraz."/>
    <x v="0"/>
    <x v="17"/>
  </r>
  <r>
    <x v="8"/>
    <s v="F13. Respuesta oportuna, clara y veraz a los diferentes procesos internos y externos."/>
    <x v="0"/>
    <x v="3"/>
  </r>
  <r>
    <x v="8"/>
    <s v="F14. Actualización periodica normativa aplicable al proceso."/>
    <x v="0"/>
    <x v="16"/>
  </r>
  <r>
    <x v="8"/>
    <s v="F15. Los indicadores son insumo para la mejora continua del proceso."/>
    <x v="2"/>
    <x v="2"/>
  </r>
  <r>
    <x v="8"/>
    <s v="F16. Planificación de las actividades a realizar."/>
    <x v="1"/>
    <x v="1"/>
  </r>
  <r>
    <x v="8"/>
    <s v="F17. Pasantes para el apoyo de las actividades de la oficina."/>
    <x v="3"/>
    <x v="10"/>
  </r>
  <r>
    <x v="8"/>
    <s v="F18. Feedback permanentes del líder de proceso al equipo de trabajo."/>
    <x v="1"/>
    <x v="11"/>
  </r>
  <r>
    <x v="8"/>
    <s v="F19. Se Implementa la ejecución de auditorias virtuales."/>
    <x v="0"/>
    <x v="5"/>
  </r>
  <r>
    <x v="8"/>
    <s v="F2. Equipo de Trabajo Multidisciplinario."/>
    <x v="3"/>
    <x v="20"/>
  </r>
  <r>
    <x v="8"/>
    <s v="F20. Información del proceso documentada publicada, actualizada y divulgada a las partes interesadas."/>
    <x v="0"/>
    <x v="17"/>
  </r>
  <r>
    <x v="8"/>
    <s v="F3. Buen clima Organizacional."/>
    <x v="4"/>
    <x v="9"/>
  </r>
  <r>
    <x v="8"/>
    <s v="F4. Adaptación al cambio."/>
    <x v="0"/>
    <x v="36"/>
  </r>
  <r>
    <x v="8"/>
    <s v="F5. Mayor cobertura en el desarrollo de actividades de los Procesos."/>
    <x v="1"/>
    <x v="19"/>
  </r>
  <r>
    <x v="8"/>
    <s v="F6. Utilización de los medios de Comunicación de la Universidad."/>
    <x v="0"/>
    <x v="3"/>
  </r>
  <r>
    <x v="8"/>
    <s v="F7. Los profesionales de la oficina tiene mayor empoderamiento debido al fortalecimiento de las competencias"/>
    <x v="3"/>
    <x v="20"/>
  </r>
  <r>
    <x v="8"/>
    <s v="F8. Cultura de trabajo enfocada a resultados"/>
    <x v="1"/>
    <x v="11"/>
  </r>
  <r>
    <x v="8"/>
    <s v="F9. Claridad de los objetivos, funciones y resposabilidades acorde a los perfiles."/>
    <x v="3"/>
    <x v="14"/>
  </r>
  <r>
    <x v="9"/>
    <s v="F1. Amplio portafolio de servicios educativos. "/>
    <x v="1"/>
    <x v="37"/>
  </r>
  <r>
    <x v="9"/>
    <s v="F10. Existe un manual de funciones"/>
    <x v="3"/>
    <x v="14"/>
  </r>
  <r>
    <x v="9"/>
    <s v="F11. Las herramientas de trabajo responden a las necesidades del proceso"/>
    <x v="5"/>
    <x v="18"/>
  </r>
  <r>
    <x v="9"/>
    <s v="F12. Se cuenta con backups para la seguridad y trazabilidad de la información"/>
    <x v="0"/>
    <x v="0"/>
  </r>
  <r>
    <x v="9"/>
    <s v="F13. Se cuenta con canales claros de comunicación"/>
    <x v="0"/>
    <x v="3"/>
  </r>
  <r>
    <x v="9"/>
    <s v="F14. Los procesos de contratación son transparentes e imparciales"/>
    <x v="0"/>
    <x v="34"/>
  </r>
  <r>
    <x v="9"/>
    <s v="F15. Existen indicadores para medir la eficacia y eficiencia del proceso"/>
    <x v="2"/>
    <x v="2"/>
  </r>
  <r>
    <x v="9"/>
    <s v="F16. Credibilidad y confianza en la prestación de los servicios, los contratos y los convenios"/>
    <x v="1"/>
    <x v="7"/>
  </r>
  <r>
    <x v="9"/>
    <s v="F17. Posibilidad de crear y fortalecer nuevas alianzas estratégicas con empresas e instituciones de educación superior"/>
    <x v="1"/>
    <x v="19"/>
  </r>
  <r>
    <x v="9"/>
    <s v="F18. Se cuenta con la capacidad suficiente de personal para atender las necesidades del proceso."/>
    <x v="3"/>
    <x v="4"/>
  </r>
  <r>
    <x v="9"/>
    <s v="F19. Mediciones que realiza Seguridad y Salud en el Trabajo."/>
    <x v="2"/>
    <x v="25"/>
  </r>
  <r>
    <x v="9"/>
    <s v="F2. Independencia del proceso de contratación de la Universidad."/>
    <x v="0"/>
    <x v="8"/>
  </r>
  <r>
    <x v="9"/>
    <s v="F20. La infraestructura es apta para la prestación del servicio."/>
    <x v="5"/>
    <x v="21"/>
  </r>
  <r>
    <x v="9"/>
    <s v="F21. Se realizan capacitaciones de vida saludable &quot;Seguridad y Salud en el Trabajo&quot;."/>
    <x v="3"/>
    <x v="12"/>
  </r>
  <r>
    <x v="9"/>
    <s v="F22. Se cuenta con documentación actualizada y se hace divulgación de la misma cuando se requiere. "/>
    <x v="0"/>
    <x v="17"/>
  </r>
  <r>
    <x v="9"/>
    <s v="F23. La universidad cuenta con un proceso/programa para el análisis del clima laboral."/>
    <x v="4"/>
    <x v="9"/>
  </r>
  <r>
    <x v="9"/>
    <s v="F24. Se tienen metas claras y precisas para el cumplimiento del Plan Rectoral y Plan Estrátegico."/>
    <x v="1"/>
    <x v="1"/>
  </r>
  <r>
    <x v="9"/>
    <s v="F25. Actualización anual del normograma."/>
    <x v="1"/>
    <x v="1"/>
  </r>
  <r>
    <x v="9"/>
    <s v="F3. Relacionamiento favorable de los líderes del proceso con las entidades externas."/>
    <x v="1"/>
    <x v="38"/>
  </r>
  <r>
    <x v="9"/>
    <s v="F4.- Equipo humano interdisciplinario y competente."/>
    <x v="3"/>
    <x v="20"/>
  </r>
  <r>
    <x v="9"/>
    <s v="F5. Pertenecer a las entidades del sector público."/>
    <x v="1"/>
    <x v="19"/>
  </r>
  <r>
    <x v="9"/>
    <s v="F6. Ubicación geográfica favorable para la operación "/>
    <x v="1"/>
    <x v="7"/>
  </r>
  <r>
    <x v="9"/>
    <s v="F7. Capacidad financiera para respaldar procesos de contratación."/>
    <x v="6"/>
    <x v="29"/>
  </r>
  <r>
    <x v="9"/>
    <s v="F8. Se han desarrollado procesos de capacitación a los funcionarios"/>
    <x v="3"/>
    <x v="12"/>
  </r>
  <r>
    <x v="9"/>
    <s v="F9. Se delegan funciones y se propicia un buen clima de trabajo"/>
    <x v="3"/>
    <x v="14"/>
  </r>
  <r>
    <x v="10"/>
    <s v="F1. Confidencialidad de la información."/>
    <x v="0"/>
    <x v="0"/>
  </r>
  <r>
    <x v="10"/>
    <s v="F10. Se cuenta con los elementos de protección para las correctas prácticas archivísticas"/>
    <x v="5"/>
    <x v="18"/>
  </r>
  <r>
    <x v="10"/>
    <s v="F11. Control de temperatura y humedad para la correcta conservación del archivo"/>
    <x v="0"/>
    <x v="8"/>
  </r>
  <r>
    <x v="10"/>
    <s v="F12. Se asegura la trazabilidad de las actividades ejecutadas mediante los informes de gestión de los funcionarios"/>
    <x v="2"/>
    <x v="30"/>
  </r>
  <r>
    <x v="10"/>
    <s v="F13. Se cuenta con un convenio de mensajería nacional e internacional"/>
    <x v="1"/>
    <x v="19"/>
  </r>
  <r>
    <x v="10"/>
    <s v="F14. Apropiación del concepto transhumanidad y translocalidad mediante las actividades del proceso"/>
    <x v="3"/>
    <x v="6"/>
  </r>
  <r>
    <x v="10"/>
    <s v="F15. Documentos que soportan la operación del proceso publicados y actualizados"/>
    <x v="0"/>
    <x v="17"/>
  </r>
  <r>
    <x v="10"/>
    <s v="F16. Planificación de calibración y mantenimiento preventivo para los equipos del proceso"/>
    <x v="5"/>
    <x v="33"/>
  </r>
  <r>
    <x v="10"/>
    <s v="F2. Personal competente y actualizado capaz de brindar capacitaciones"/>
    <x v="3"/>
    <x v="20"/>
  </r>
  <r>
    <x v="10"/>
    <s v="F3. Respuesta rápida y oportuna a la solicitud de Información."/>
    <x v="0"/>
    <x v="0"/>
  </r>
  <r>
    <x v="10"/>
    <s v="F4. Adecuadas prácticas archivísticas."/>
    <x v="3"/>
    <x v="6"/>
  </r>
  <r>
    <x v="10"/>
    <s v="F5. Planificación de las actividades del Proceso."/>
    <x v="1"/>
    <x v="1"/>
  </r>
  <r>
    <x v="10"/>
    <s v="F6. Recursos propios para el Proceso."/>
    <x v="6"/>
    <x v="29"/>
  </r>
  <r>
    <x v="10"/>
    <s v="F7. El personal cuenta con los recursos digitales necesarios para el cumplimiento de los objetivos."/>
    <x v="5"/>
    <x v="18"/>
  </r>
  <r>
    <x v="10"/>
    <s v="F8. Sinergia. "/>
    <x v="4"/>
    <x v="9"/>
  </r>
  <r>
    <x v="10"/>
    <s v="F9. Los indicadores reflejan el desempeño del proceso y aportan al cumplimiento del plan rectoral y el plan estratégico"/>
    <x v="2"/>
    <x v="2"/>
  </r>
  <r>
    <x v="10"/>
    <s v="F9. Los indicadores reflejan el desempeño del proceso y aportan al cumplimiento del plan rectoral y el plan estratégico"/>
    <x v="2"/>
    <x v="2"/>
  </r>
  <r>
    <x v="11"/>
    <s v="F1. Compromiso de la alta Dirección de impulsar la gestión de la internacionalización como factor principal para fortalecer el frente estratégico &quot;Dialogo Transfronterizo&quot;"/>
    <x v="1"/>
    <x v="11"/>
  </r>
  <r>
    <x v="11"/>
    <s v="F2. Dialogando con el mundo como eje transversal para apoyar y fortalecer los procesos de: Bienestar Universitario, Formación y Aprendizaje, Ciencia, tecnología e innovación e Interacción social Universitaria."/>
    <x v="0"/>
    <x v="8"/>
  </r>
  <r>
    <x v="11"/>
    <s v="F3. Respuesta positiva de las Universidades extranjeras a las cuales se ha contactado para la suscripción de convenios. "/>
    <x v="1"/>
    <x v="38"/>
  </r>
  <r>
    <x v="11"/>
    <s v="F4. Contar con la experiencia , el conocimiento y el sentido de pertenencia de las personas a cargo del proceso. "/>
    <x v="3"/>
    <x v="20"/>
  </r>
  <r>
    <x v="11"/>
    <s v="F5. Capacidad para atraer profesores e investigadores extranjeros así como destacados académicos."/>
    <x v="1"/>
    <x v="11"/>
  </r>
  <r>
    <x v="11"/>
    <s v="F6. Reputación a nivel nacional en escuelas de verano &quot;Bilingüismo&quot; como cursos intersemestrales. "/>
    <x v="1"/>
    <x v="7"/>
  </r>
  <r>
    <x v="11"/>
    <s v="F7. Se crea el estrategias de internacionalización en casas: el pluriverso transmoderno."/>
    <x v="1"/>
    <x v="24"/>
  </r>
  <r>
    <x v="11"/>
    <s v="F8. Dialogo de saberes, Mediante el estrategias  de docente embajador, los docentes  compartes sus experiencias de movilidad a la comunidad académica. "/>
    <x v="1"/>
    <x v="24"/>
  </r>
  <r>
    <x v="11"/>
    <s v="F9. Contar con una política  establecida con lineamientos claros para el proceso"/>
    <x v="1"/>
    <x v="24"/>
  </r>
  <r>
    <x v="11"/>
    <s v="F10. Se cuenta con pasantes de apoyo para el proceso de dialogando con el mundo "/>
    <x v="3"/>
    <x v="10"/>
  </r>
  <r>
    <x v="12"/>
    <s v="F1: Segregación de Funciones"/>
    <x v="3"/>
    <x v="14"/>
  </r>
  <r>
    <x v="12"/>
    <s v="F10. Aprovechamiento de las capacitaciones brindadas por la contaduría general de la nación en actualización de normatividad general que aplica al proceso."/>
    <x v="3"/>
    <x v="12"/>
  </r>
  <r>
    <x v="12"/>
    <s v="F11. El proceso cuenta con funcionarios competentes y dispuesto a brindar soluciones oportunas dando cumplimiento a lo establecido en la normativa legal. "/>
    <x v="3"/>
    <x v="20"/>
  </r>
  <r>
    <x v="12"/>
    <s v="F12. Personal con alta grado de compromiso para el cumplimiento  de los objetivos del proceso."/>
    <x v="3"/>
    <x v="6"/>
  </r>
  <r>
    <x v="12"/>
    <s v="F13. Disposición de los recursos económicos  para ejecutarse según se requiera "/>
    <x v="6"/>
    <x v="29"/>
  </r>
  <r>
    <x v="12"/>
    <s v="F14. Se implemente la resección de tramites por correo electrónico institucional y se gestionan oportunamente."/>
    <x v="0"/>
    <x v="22"/>
  </r>
  <r>
    <x v="12"/>
    <s v="F15. Capacidad de adaptación al cambio de los funcionarios frente a las contingencias."/>
    <x v="0"/>
    <x v="36"/>
  </r>
  <r>
    <x v="12"/>
    <s v="F2: Plataforma Gestasoft"/>
    <x v="5"/>
    <x v="13"/>
  </r>
  <r>
    <x v="12"/>
    <s v="F3: Personal idóneo para las necesidades del Proceso"/>
    <x v="3"/>
    <x v="20"/>
  </r>
  <r>
    <x v="12"/>
    <s v="F4: Conocimiento de la normatividad aplicable al proceso"/>
    <x v="3"/>
    <x v="20"/>
  </r>
  <r>
    <x v="12"/>
    <s v="F5. asesoramiento financiero eficiente y eficaz a los responsables de los  procesos."/>
    <x v="3"/>
    <x v="6"/>
  </r>
  <r>
    <x v="12"/>
    <s v="F6. Se realizan capacitaciones e inducciones a los funcionarios del proceso"/>
    <x v="3"/>
    <x v="12"/>
  </r>
  <r>
    <x v="12"/>
    <s v="F7 Están plenamente establecidos las canales de comunicación internos y externos."/>
    <x v="0"/>
    <x v="3"/>
  </r>
  <r>
    <x v="12"/>
    <s v="F8 se cuanta con una planeación adecuada lo cual permite identificar y comunicar los cambios del proceso a todas las oficinas"/>
    <x v="1"/>
    <x v="1"/>
  </r>
  <r>
    <x v="12"/>
    <s v="F9   los tiempos de respuesta entra las oficinas y los procesos con los que se interactúan es oportuna."/>
    <x v="0"/>
    <x v="27"/>
  </r>
  <r>
    <x v="13"/>
    <s v="F1 Planes y proyectos encaminados al cumplimiento del plan estratégico"/>
    <x v="1"/>
    <x v="1"/>
  </r>
  <r>
    <x v="13"/>
    <s v="F10 Acreditación del programa de Licenciatura en Ciencias Sociales"/>
    <x v="1"/>
    <x v="28"/>
  </r>
  <r>
    <x v="13"/>
    <s v="F11 Tener una extensión en Chía como lugar para ofertar postgrados, por localización cercana a Bogotá y zona de alto impacto. "/>
    <x v="1"/>
    <x v="7"/>
  </r>
  <r>
    <x v="13"/>
    <s v="F12 Salidas académicas que complementan la formación de estudiantes."/>
    <x v="0"/>
    <x v="8"/>
  </r>
  <r>
    <x v="13"/>
    <s v="F13. Perfiles de cargos administrativos y docentes definidos"/>
    <x v="3"/>
    <x v="14"/>
  </r>
  <r>
    <x v="13"/>
    <s v="F14. Plataforma institucional para la gestión académica y administrativa"/>
    <x v="5"/>
    <x v="13"/>
  </r>
  <r>
    <x v="13"/>
    <s v="F15. Respuesta oportuna, clara y veraz a las partes interesadas"/>
    <x v="0"/>
    <x v="3"/>
  </r>
  <r>
    <x v="13"/>
    <s v="F16. Los indicadores son insumo para la mejora continua del proceso"/>
    <x v="2"/>
    <x v="2"/>
  </r>
  <r>
    <x v="13"/>
    <s v="F17. Apoyo de pasantes y monitores para el desarrollo de actividades"/>
    <x v="3"/>
    <x v="10"/>
  </r>
  <r>
    <x v="13"/>
    <s v="F18. (Postgrados) Ingresos por matriculas de especialización y maestrías"/>
    <x v="6"/>
    <x v="29"/>
  </r>
  <r>
    <x v="13"/>
    <s v="F19. (Postgrados) Equipo de trabajo calificado de acuerdo al perfil"/>
    <x v="3"/>
    <x v="20"/>
  </r>
  <r>
    <x v="13"/>
    <s v="F2 Plan Estratégico orientado a la promoción y difusión de la oferta académica"/>
    <x v="1"/>
    <x v="24"/>
  </r>
  <r>
    <x v="13"/>
    <s v="F20. (Postgrados) Instalaciones del área administrativa para la ejecución de actividades"/>
    <x v="5"/>
    <x v="21"/>
  </r>
  <r>
    <x v="13"/>
    <s v="F21. Oferta de cursos virtuales a nivel internacional"/>
    <x v="1"/>
    <x v="28"/>
  </r>
  <r>
    <x v="13"/>
    <s v="F22. Creación de contenido con enfoque inclusivo (Videos, audios, subtítulos, lectura)"/>
    <x v="0"/>
    <x v="3"/>
  </r>
  <r>
    <x v="13"/>
    <s v="F23. Equipo interdisciplinar (Oficina de Educación Virtual y a Distancia)"/>
    <x v="3"/>
    <x v="20"/>
  </r>
  <r>
    <x v="13"/>
    <s v="F24. Fortalecimiento en la gestión del conocimiento en la oficina de Educación Virtual y a Distancia con los procesos académicos"/>
    <x v="3"/>
    <x v="23"/>
  </r>
  <r>
    <x v="13"/>
    <s v="F25. Mantenimiento preventivo a los equipos de la oficina de educación virtual y a distancia"/>
    <x v="5"/>
    <x v="33"/>
  </r>
  <r>
    <x v="13"/>
    <s v="F26. Capacitación dirigida a los docentes en relación a la Educación Superior Inclusiva"/>
    <x v="3"/>
    <x v="12"/>
  </r>
  <r>
    <x v="13"/>
    <s v="F27. Asignación de espacios académicos acorde a las limitaciones físicas que presente la comunidad universitaria."/>
    <x v="5"/>
    <x v="35"/>
  </r>
  <r>
    <x v="13"/>
    <s v="F28. Unificación de criterios para la operación mediante el comité de postgrados y el consejo de facultad"/>
    <x v="0"/>
    <x v="27"/>
  </r>
  <r>
    <x v="13"/>
    <s v="F29. Implementación de la política de educación superior inclusiva"/>
    <x v="0"/>
    <x v="5"/>
  </r>
  <r>
    <x v="13"/>
    <s v="F3. Capacitaciones en áreas disciplinares especificas de la Escuela de Formación y Aprendizaje Docente S21 - EFADS21"/>
    <x v="3"/>
    <x v="12"/>
  </r>
  <r>
    <x v="13"/>
    <s v="F4 Proyecto de resignificación curricular"/>
    <x v="1"/>
    <x v="1"/>
  </r>
  <r>
    <x v="13"/>
    <s v="F5 Escuela de Formación y Aprendizaje Docente "/>
    <x v="0"/>
    <x v="5"/>
  </r>
  <r>
    <x v="13"/>
    <s v="F6 Estímulos a los docentes por creación de programas de extensión"/>
    <x v="1"/>
    <x v="11"/>
  </r>
  <r>
    <x v="13"/>
    <s v="F7. Incentivos para docentes y estudiantes investigadores"/>
    <x v="1"/>
    <x v="11"/>
  </r>
  <r>
    <x v="13"/>
    <s v="F8 Ruta de fortalecimiento de SABER PRO"/>
    <x v="0"/>
    <x v="8"/>
  </r>
  <r>
    <x v="13"/>
    <s v="F9 Sentido de pertinencia de los docentes por sus programas académicos."/>
    <x v="3"/>
    <x v="6"/>
  </r>
  <r>
    <x v="14"/>
    <s v="F1. Se cuentan con metas claras y precisas para el cumplimiento del Plan Rectoral y el Plan Estratégico"/>
    <x v="1"/>
    <x v="1"/>
  </r>
  <r>
    <x v="14"/>
    <s v="F10. Desarrollo de programas  de bienestar laboral  que brindan  un ambiente laboral adecuado para el desarrollo de las actividades."/>
    <x v="4"/>
    <x v="9"/>
  </r>
  <r>
    <x v="14"/>
    <s v="F11. Funciones designadas de manera equilibrada para cada puesto de trabajo estableciendo roles, responsabilidades y perfil del personal contratado."/>
    <x v="3"/>
    <x v="14"/>
  </r>
  <r>
    <x v="14"/>
    <s v="F12. Canales de comunicación claramente establecidos y asertivos para el desarrollo de las actividades."/>
    <x v="0"/>
    <x v="3"/>
  </r>
  <r>
    <x v="14"/>
    <s v="F13. Los funcionarios  tienen conocimiento  de las actividades propias del proceso y disponibilidad para desarrollarlas."/>
    <x v="3"/>
    <x v="6"/>
  </r>
  <r>
    <x v="14"/>
    <s v="F14. Equipo de trabajo comprometido, cumpliendo a cabalidad las funciones y actividades del proceso."/>
    <x v="3"/>
    <x v="6"/>
  </r>
  <r>
    <x v="14"/>
    <s v="F15. Existe continuidad en el tiempo de contratación de los funcionarios."/>
    <x v="3"/>
    <x v="26"/>
  </r>
  <r>
    <x v="14"/>
    <s v="F2. Actividades encaminadas a fortalecer el comportamiento social y como se contribuye al desarrollo del otro, por medio del voluntariado, proyectos de proyección social, ofertas de educación continuada y modelo de responsabilidad social universitaria"/>
    <x v="1"/>
    <x v="24"/>
  </r>
  <r>
    <x v="14"/>
    <s v="F2. Actividades encaminadas a fortalecer el comportamiento social y como se contribuye al desarrollo del otro, por medio del voluntariado, proyectos de proyección social, ofertas de educación continuada y modelo de responsabilidad social universitaria"/>
    <x v="3"/>
    <x v="12"/>
  </r>
  <r>
    <x v="14"/>
    <s v="F3. Presupuesto adecuado para el desarrollo de las actividades y metas que tiene el proceso."/>
    <x v="6"/>
    <x v="15"/>
  </r>
  <r>
    <x v="14"/>
    <s v="F4. Las actividades a realizar en el transcurso del semestre son planificadas teniendo en cuenta las necesidades del proceso y de la Institución."/>
    <x v="3"/>
    <x v="1"/>
  </r>
  <r>
    <x v="14"/>
    <s v="F4. Las actividades a realizar en el transcurso del semestre son planificadas teniendo en cuenta las necesidades del proceso y de la Institución."/>
    <x v="1"/>
    <x v="1"/>
  </r>
  <r>
    <x v="14"/>
    <s v="F5. Infraestructura Física adecuada para los servicios que ofrece la oficina de Interacción universitaria."/>
    <x v="5"/>
    <x v="21"/>
  </r>
  <r>
    <x v="14"/>
    <s v="F6. La normatividad aplicable al proceso se conoce y es actualizada periódicamente."/>
    <x v="0"/>
    <x v="16"/>
  </r>
  <r>
    <x v="14"/>
    <s v="F7. Precios asequibles para la Comunidad en General."/>
    <x v="1"/>
    <x v="28"/>
  </r>
  <r>
    <x v="14"/>
    <s v="F8. Se realizan procesos de capacitación, inducción y reinducción a los funcionarios para el desarrollo sus competencias laborales."/>
    <x v="3"/>
    <x v="12"/>
  </r>
  <r>
    <x v="14"/>
    <s v="F9.  Los perfiles de los funcionarios cumplen con las necesidades operativas del proceso."/>
    <x v="3"/>
    <x v="20"/>
  </r>
  <r>
    <x v="15"/>
    <s v="F1. Apoyo de la Alta Dirección."/>
    <x v="1"/>
    <x v="11"/>
  </r>
  <r>
    <x v="15"/>
    <s v="F10. Los indicadores permiten medir la gestión del proceso de manera eficaz."/>
    <x v="2"/>
    <x v="2"/>
  </r>
  <r>
    <x v="15"/>
    <s v="F11. Se agilizan y se priorizan trámites para cumplir con los objetivos del proceso."/>
    <x v="0"/>
    <x v="5"/>
  </r>
  <r>
    <x v="15"/>
    <s v="F12. Se respeta a las partes interesadas, atendiendo sus solicitudes y requerimientos conforme a la normatividad vigente."/>
    <x v="4"/>
    <x v="9"/>
  </r>
  <r>
    <x v="15"/>
    <s v="F13. Revisión de los estudios de conveniencia del personal administrativo y docente de cara a la acreditación de programas y la acreditación institucional."/>
    <x v="1"/>
    <x v="24"/>
  </r>
  <r>
    <x v="15"/>
    <s v="F14. Se cuenta con un registro de control y se realiza revisión a los procesos de la dirección para cumplir con las actividades asignadas a través de los sistemas de información con los que cuenta esta dirección."/>
    <x v="2"/>
    <x v="25"/>
  </r>
  <r>
    <x v="15"/>
    <s v="F15. Se realiza seguimiento a los tramites precontractuales y jurídicos bajo los parámetros reglamentarios internos y externos."/>
    <x v="2"/>
    <x v="25"/>
  </r>
  <r>
    <x v="15"/>
    <s v="F16. Se cuenta con pasantes para el apoyo de las actividades del proceso."/>
    <x v="3"/>
    <x v="10"/>
  </r>
  <r>
    <x v="15"/>
    <s v="F16: La documentación del proceso se encuentra divulgada a las partes interesadas."/>
    <x v="0"/>
    <x v="3"/>
  </r>
  <r>
    <x v="15"/>
    <s v="F2. Fortalecimiento de las competencias del Recurso Humano disponible en la Oficina."/>
    <x v="3"/>
    <x v="20"/>
  </r>
  <r>
    <x v="15"/>
    <s v="F3. Los perfiles de los funcionarios cumplen con las necesidades operativas del proceso."/>
    <x v="3"/>
    <x v="20"/>
  </r>
  <r>
    <x v="15"/>
    <s v="F4. Se propicia un buen clima de trabajo "/>
    <x v="4"/>
    <x v="9"/>
  </r>
  <r>
    <x v="15"/>
    <s v="F5. Los funcionarios están comprometidos con el desarrollo de las actividades realizadas."/>
    <x v="3"/>
    <x v="6"/>
  </r>
  <r>
    <x v="15"/>
    <s v="F6. El espacio físico de la oficina es acorde para el desarrollo de las actividades administrativas."/>
    <x v="5"/>
    <x v="21"/>
  </r>
  <r>
    <x v="15"/>
    <s v="F7. Se conoce y se aplica la normatividad al proceso."/>
    <x v="0"/>
    <x v="16"/>
  </r>
  <r>
    <x v="15"/>
    <s v="F8. Se realiza retroalimentación a través de reuniones de trabajo. "/>
    <x v="1"/>
    <x v="11"/>
  </r>
  <r>
    <x v="15"/>
    <s v="F9. Se promueven hábitos saludables a través del acatamiento de los lineamientos del SGSST. "/>
    <x v="4"/>
    <x v="9"/>
  </r>
  <r>
    <x v="16"/>
    <s v="F1. Implementación de un nuevo Modelo Integrado de Planeación y Gestión"/>
    <x v="0"/>
    <x v="27"/>
  </r>
  <r>
    <x v="16"/>
    <s v="F10. Canales de comunicación claramente establecidos y asertivos para el desarollo de las actividades."/>
    <x v="0"/>
    <x v="3"/>
  </r>
  <r>
    <x v="16"/>
    <s v="F10. Canales de comunicación claramente establecidos y asertivos para el desarrollo de las actividades."/>
    <x v="0"/>
    <x v="3"/>
  </r>
  <r>
    <x v="16"/>
    <s v="F11. La normatividad aplicable al proceso se conoce y es actualizada periodicamente."/>
    <x v="0"/>
    <x v="16"/>
  </r>
  <r>
    <x v="16"/>
    <s v="F12. Se da cumplimiento  y ejecución a las actividades  de acuerdo a los requisitos y de la normatividad del proceso."/>
    <x v="0"/>
    <x v="16"/>
  </r>
  <r>
    <x v="16"/>
    <s v="F13. El proceso opera en concordancia con los lineamientos establecidos en el Plan Rectoral y Plan de Desarrollo, con el fin de contribuir al logro de  los objetivos institucionales."/>
    <x v="0"/>
    <x v="5"/>
  </r>
  <r>
    <x v="16"/>
    <s v="F14. Existen indicadores para medir la eficacia y eficiencia del proceso y de la gestión de la Universidad."/>
    <x v="2"/>
    <x v="2"/>
  </r>
  <r>
    <x v="16"/>
    <s v="F16. Las actividades a realizar en el transcurso del semestre son planificadas conforme a las necesidades del proceso y de la Institución."/>
    <x v="1"/>
    <x v="1"/>
  </r>
  <r>
    <x v="16"/>
    <s v="F17.  Se asegura la gestión del conocimiento por medio de la presentación de informes de gestión y seguimiento constante a las actividades que se desarrollan"/>
    <x v="3"/>
    <x v="23"/>
  </r>
  <r>
    <x v="16"/>
    <s v="F17. Se tiene en cuenta la oferta de pasantes para el apoyo en la ejecución de las actividades del proceso."/>
    <x v="3"/>
    <x v="10"/>
  </r>
  <r>
    <x v="16"/>
    <s v="F18. Se tiene en cuenta la oferta de pasantes para el apoyo en la ejecución de las actividades del proceso."/>
    <x v="3"/>
    <x v="10"/>
  </r>
  <r>
    <x v="16"/>
    <s v="F19. Construcción de documentos estrategicos que establecen las líneas de acción que deben ejecutar los procesos de la Universidad, para el cumplimiento de los objetivos Institucionales."/>
    <x v="1"/>
    <x v="24"/>
  </r>
  <r>
    <x v="16"/>
    <s v="F2. Construcción de espacios participativos y de discusión entre los diferentes actores de la comunidad Académica."/>
    <x v="1"/>
    <x v="19"/>
  </r>
  <r>
    <x v="16"/>
    <s v="F20. Mesas de trabajo conjunta entre la Academia y la parte Administrativa para abordar estrategias que permitan fortalecer la Educación Superior Inclusiva en la Universidad"/>
    <x v="0"/>
    <x v="27"/>
  </r>
  <r>
    <x v="16"/>
    <s v="F4. La asignación del rubro presupuestal por parte de la universidad es suficiente para el cumplimiento de las actividades del proceso."/>
    <x v="6"/>
    <x v="15"/>
  </r>
  <r>
    <x v="16"/>
    <s v="F5. Reportes oportunos a Entes de Control."/>
    <x v="0"/>
    <x v="31"/>
  </r>
  <r>
    <x v="16"/>
    <s v="F6. Fortalecimiento de la Planeación Estratégica"/>
    <x v="1"/>
    <x v="1"/>
  </r>
  <r>
    <x v="16"/>
    <s v="F7. Buenas Instalaciones e Infraestructura para el desarrollo de las actividades del proceso."/>
    <x v="5"/>
    <x v="21"/>
  </r>
  <r>
    <x v="16"/>
    <s v="F8. Buenas relaciones con las diferentes dependencias de la Institución"/>
    <x v="1"/>
    <x v="19"/>
  </r>
  <r>
    <x v="16"/>
    <s v="F8. Se realizan procesos de capacitación e inducción a los funcionarios para el desarrollo sus competencias laborales."/>
    <x v="3"/>
    <x v="12"/>
  </r>
  <r>
    <x v="16"/>
    <s v="F9. Los funcionarios  tienen conocimiento  de las actividades propias del proceso cumpliendo a cabalidad las funciones  y actividades en el tiempo planificado."/>
    <x v="3"/>
    <x v="14"/>
  </r>
  <r>
    <x v="17"/>
    <s v="F1. Aplicativo propio para realizar solicitudes a la Institución"/>
    <x v="5"/>
    <x v="13"/>
  </r>
  <r>
    <x v="17"/>
    <s v="F10. Metas claras y precisas en el plan de acción que corresponde al cumplimiento del plan rectoral y el plan de desarrollo"/>
    <x v="1"/>
    <x v="1"/>
  </r>
  <r>
    <x v="17"/>
    <s v="F11. Solicitud y asistencia a capacitaciones en materia de inclusión (lenguaje de señas)"/>
    <x v="3"/>
    <x v="12"/>
  </r>
  <r>
    <x v="17"/>
    <s v="F12. Promoción de la oficina en redes sociales y página web"/>
    <x v="0"/>
    <x v="3"/>
  </r>
  <r>
    <x v="17"/>
    <s v="F13. Se fortalece la transhumanidad en el proceso a través del servicio que se presta a la comunidad universitaria y la comunidad en general"/>
    <x v="3"/>
    <x v="6"/>
  </r>
  <r>
    <x v="17"/>
    <s v="F14. Se cuenta con pasantes - monitores para el apoyo de las actividades del proceso"/>
    <x v="3"/>
    <x v="10"/>
  </r>
  <r>
    <x v="17"/>
    <s v="F15. Se promueve hábitos saludables y pausas activas que generan bienestar laboral al equipo de trabajo"/>
    <x v="4"/>
    <x v="9"/>
  </r>
  <r>
    <x v="17"/>
    <s v="F16. Se cuenta con indicadores que miden la gestión del proceso"/>
    <x v="2"/>
    <x v="2"/>
  </r>
  <r>
    <x v="17"/>
    <s v="F17. Mecanismos virtuales y presenciales para que la comunidad en general acceda a los servicios que presta la oficina."/>
    <x v="5"/>
    <x v="13"/>
  </r>
  <r>
    <x v="17"/>
    <s v="F2.   Inducción y capacitación sobre los procedimientos a funcionarios, docentes y estudiantes de la institución  "/>
    <x v="3"/>
    <x v="12"/>
  </r>
  <r>
    <x v="17"/>
    <s v="F3. Buen Ambiente de trabajo"/>
    <x v="4"/>
    <x v="9"/>
  </r>
  <r>
    <x v="17"/>
    <s v="F4. Apoyo  por  parte  de las seccionales y extensiones en asignar una persona para optimizar los tramites y los tiempos determinados por la ley"/>
    <x v="3"/>
    <x v="14"/>
  </r>
  <r>
    <x v="17"/>
    <s v="F5. Se cuenta con infraestructura adecuada y acorde a la necesidades las partes interesadas  en la sede Fusagasugá."/>
    <x v="5"/>
    <x v="21"/>
  </r>
  <r>
    <x v="17"/>
    <s v="F6. Apoyo por parte de la Alta Dirección"/>
    <x v="1"/>
    <x v="11"/>
  </r>
  <r>
    <x v="17"/>
    <s v="F6. Los perfiles de los funcionarios cumplen con las necesidades operativas del proceso."/>
    <x v="3"/>
    <x v="20"/>
  </r>
  <r>
    <x v="17"/>
    <s v="F7. Se conoce y se aplica la normatividad al proceso"/>
    <x v="0"/>
    <x v="16"/>
  </r>
  <r>
    <x v="17"/>
    <s v="F8. Se cuenta con canales claros de comunicación."/>
    <x v="0"/>
    <x v="3"/>
  </r>
  <r>
    <x v="17"/>
    <s v="F9. Se cuenta con backups para la seguridad y trazabilidad de la información."/>
    <x v="0"/>
    <x v="0"/>
  </r>
  <r>
    <x v="18"/>
    <s v="F1. Las actividades a realizar en el transcurso del semestre son planificadas."/>
    <x v="1"/>
    <x v="1"/>
  </r>
  <r>
    <x v="18"/>
    <s v="F10. Funciones designadas de manera equilibrada para cada puesto de trabajo estableciendo roles, responsabilidades y perfil del personal contratado."/>
    <x v="3"/>
    <x v="14"/>
  </r>
  <r>
    <x v="18"/>
    <s v="F11. Se asegura la Gestión del Conocimiento al interior del proceso por parte de los funcionarios, cumpliendo a cabalidad las actividades en el tiempo planificado."/>
    <x v="3"/>
    <x v="23"/>
  </r>
  <r>
    <x v="18"/>
    <s v="F12. Se realiza mantenimiento preventivo a los equipos de la oficina."/>
    <x v="5"/>
    <x v="33"/>
  </r>
  <r>
    <x v="18"/>
    <s v="F13. Canales de comunicación claramente establecidos y asertivos para el desarollo de las actividades."/>
    <x v="0"/>
    <x v="3"/>
  </r>
  <r>
    <x v="18"/>
    <s v="F14. Se cuenta  con backups para la seguridad y trazabilidad de la información."/>
    <x v="0"/>
    <x v="0"/>
  </r>
  <r>
    <x v="18"/>
    <s v="F15. Se reportan oportunamente los cambios de acuerdo a la directriz del procedimiento de Gestión del Cambio."/>
    <x v="0"/>
    <x v="36"/>
  </r>
  <r>
    <x v="18"/>
    <s v="F16. La normatividad aplicable al proceso se conoce y es actualizada periódicamente."/>
    <x v="0"/>
    <x v="16"/>
  </r>
  <r>
    <x v="18"/>
    <s v="F18. Implementación de herramientas digitales para la optimización de trámites y procesos."/>
    <x v="5"/>
    <x v="13"/>
  </r>
  <r>
    <x v="18"/>
    <s v="F2. Apoyo de la alta dirección para el mantenimiento del Sistema Integrado de Gestión"/>
    <x v="1"/>
    <x v="11"/>
  </r>
  <r>
    <x v="18"/>
    <s v="F2. Apoyo de la alta dirección para el mantenimiento del Sistema Integrado de Gestión"/>
    <x v="1"/>
    <x v="11"/>
  </r>
  <r>
    <x v="18"/>
    <s v="F20. Los  procesos de contratación son transparentes e imparciales"/>
    <x v="0"/>
    <x v="34"/>
  </r>
  <r>
    <x v="18"/>
    <s v="F3. Existen indicadores para medir la eficacia y eficiencia del proceso, los cuales se miden de manera objetiva para tomar las acciones necesarias que permitan obtener los resultados previstos y aportar al logro de los objetivos institucionales."/>
    <x v="2"/>
    <x v="2"/>
  </r>
  <r>
    <x v="18"/>
    <s v="F4. Existe retroalimentación de las conclusiones al análisis de los indicadores para la formulación o reformulación de los planes de mejora."/>
    <x v="2"/>
    <x v="2"/>
  </r>
  <r>
    <x v="18"/>
    <s v="F5. Equipos e infraestructura adecuados para la oficina de calidad"/>
    <x v="5"/>
    <x v="18"/>
  </r>
  <r>
    <x v="18"/>
    <s v="F6. El sistema de gestión de la calidad hace parte de la estrategia de la organización"/>
    <x v="1"/>
    <x v="24"/>
  </r>
  <r>
    <x v="18"/>
    <s v="F7. El proceso opera de manera articulada al logro de los objetivos institucionales."/>
    <x v="0"/>
    <x v="27"/>
  </r>
  <r>
    <x v="18"/>
    <s v="F8. Alto grado de Compromiso de los funcionarios del proceso para el desarrollo de las actividades."/>
    <x v="3"/>
    <x v="6"/>
  </r>
  <r>
    <x v="18"/>
    <s v="F9. Desarrollo de programas de bienestar laboral que brindan un ambiente laboral adecuado para el desarrollo de las actividades."/>
    <x v="4"/>
    <x v="9"/>
  </r>
  <r>
    <x v="19"/>
    <s v="F1. Existen indicadores para medir la eficacia del proceso, los cuales permiten tomar las acciones necesarias que permitan obtener los resultados previstos y aportar al logro de los objetivos institucionales."/>
    <x v="2"/>
    <x v="2"/>
  </r>
  <r>
    <x v="19"/>
    <s v="F10.  Los perfiles de los funcionarios cumplen con las necesidades operativas del proceso."/>
    <x v="3"/>
    <x v="20"/>
  </r>
  <r>
    <x v="19"/>
    <s v="F11. Desarrollo de programas  de bienestar laboral  que brindan  un ambiente laboral adecuado para el desarrollo de las actividades."/>
    <x v="4"/>
    <x v="9"/>
  </r>
  <r>
    <x v="19"/>
    <s v="F12. Se cuenta con metas claras y enfocadas a lograr el cumplimiento del Plan Rectoral y el Plan de Desarrollo que plantea la Institución."/>
    <x v="1"/>
    <x v="1"/>
  </r>
  <r>
    <x v="19"/>
    <s v="F13. Sistemas de información desarrollados a la medida para los procesos críticos de la Institución."/>
    <x v="5"/>
    <x v="13"/>
  </r>
  <r>
    <x v="19"/>
    <s v="F14. Se tiene en cuenta la oferta de pasantes para el apoyo en la ejecución de las actividades del proceso."/>
    <x v="3"/>
    <x v="10"/>
  </r>
  <r>
    <x v="19"/>
    <s v="F15. Se asegura de manera constante la Gestión del Conocimiento al interior del proceso, por medio de los líderes de área."/>
    <x v="3"/>
    <x v="23"/>
  </r>
  <r>
    <x v="19"/>
    <s v="F16. Se conoce, se aplica y se actualiza periódicamente la normatividad legal aplicable al proceso."/>
    <x v="0"/>
    <x v="16"/>
  </r>
  <r>
    <x v="19"/>
    <s v="F2. La Dirección de Sistemas y Tecnología cuenta con un esquema de trabajo planificado y organizado que permite la distribución, ejecución y seguimiento de las actividades programadas."/>
    <x v="1"/>
    <x v="1"/>
  </r>
  <r>
    <x v="19"/>
    <s v="F3. Se realiza mantenimiento preventivo y/o correctivo de los equipos de acuerdo a un cronograma establecido permitiendo su control y cumplimiento."/>
    <x v="5"/>
    <x v="33"/>
  </r>
  <r>
    <x v="19"/>
    <s v="F4. Fortalecimiento de los canales de datos para la mejora de la conectividad al interior de la Universidad de Cundinamarca"/>
    <x v="5"/>
    <x v="39"/>
  </r>
  <r>
    <x v="19"/>
    <s v="F5. Director del Proceso comprometido con los requerimientos institucionales y que son resorte de la Dirección de Sistemas y Tecnología."/>
    <x v="3"/>
    <x v="6"/>
  </r>
  <r>
    <x v="19"/>
    <s v="F6. Implementación del Sistema de Gestión de Seguridad de la Información en la Universidad de Cundinamarca como lineamiento del componente de Seguridad y Privacidad de la Información en la estrategia de Gobierno Digital."/>
    <x v="0"/>
    <x v="16"/>
  </r>
  <r>
    <x v="19"/>
    <s v="F7. Implementación de Sistemas de Información para los procesos misionales y administrativos, atendiendo las necesidades de las partes interesadas."/>
    <x v="5"/>
    <x v="13"/>
  </r>
  <r>
    <x v="19"/>
    <s v="F8. Fortalecimientos de los canales de comunicación interno en sedes, seccionales, extensiones y oficina de Bogotá"/>
    <x v="0"/>
    <x v="3"/>
  </r>
  <r>
    <x v="19"/>
    <s v="F9. Nuevos desarrollos que permitan la automatización de procesos y procedimientos contribuyendo  a una Institución Universitaria Digital"/>
    <x v="0"/>
    <x v="22"/>
  </r>
  <r>
    <x v="20"/>
    <s v="F1. Cultura laboral respetuosa, agradable y enfocada al servicio. "/>
    <x v="4"/>
    <x v="9"/>
  </r>
  <r>
    <x v="20"/>
    <s v="F10. Contar con espacios deportivos al servicio de los funcionarios de la Universidad que permiten generar bienestar."/>
    <x v="4"/>
    <x v="9"/>
  </r>
  <r>
    <x v="20"/>
    <s v="F11. Sistematización para procedimiento de Acuerdos de Gestión y diferentes software para el mejoramiento de la calidad del proceso."/>
    <x v="0"/>
    <x v="22"/>
  </r>
  <r>
    <x v="20"/>
    <s v="F12. Roles, responsabilidades y autoridades establecidas dentro del proceso"/>
    <x v="3"/>
    <x v="14"/>
  </r>
  <r>
    <x v="20"/>
    <s v="F13. Personal competente para el desarrollo de las atividades del proceso"/>
    <x v="3"/>
    <x v="20"/>
  </r>
  <r>
    <x v="20"/>
    <s v="F14. Se cuenta con una estructura clara y definida del proceso de comunicación interna y externa "/>
    <x v="0"/>
    <x v="3"/>
  </r>
  <r>
    <x v="20"/>
    <s v="F15. Elementos e insumos de trabajo suficientes y acordes para el desarrollo de actividades del proceso"/>
    <x v="5"/>
    <x v="18"/>
  </r>
  <r>
    <x v="20"/>
    <s v="F16. Implementación y aplicación de una politica previamente establecida dentro del desarrollo del Proceso"/>
    <x v="0"/>
    <x v="16"/>
  </r>
  <r>
    <x v="20"/>
    <s v="F17. Se cuenta con una planificación de actividades a realizar durante el semestre"/>
    <x v="1"/>
    <x v="1"/>
  </r>
  <r>
    <x v="20"/>
    <s v="F18. Indicadores establecidos para medir los resultados de la  gestión "/>
    <x v="2"/>
    <x v="2"/>
  </r>
  <r>
    <x v="20"/>
    <s v="F19. Sistematización de algunas actividades dentro de los procedimientos. (software para manejo de ausentismo, seguimiento a condiciones de salud e investigación de accidentes de trabajo.)"/>
    <x v="0"/>
    <x v="22"/>
  </r>
  <r>
    <x v="20"/>
    <s v="F2. Comunicación asertiva entre los funcionarios de la oficina."/>
    <x v="0"/>
    <x v="3"/>
  </r>
  <r>
    <x v="20"/>
    <s v="F20.Se cuenta con alianzas estratégicas de empresa y instituciones académicas para el desarrollo de las actividades del SG-SST."/>
    <x v="1"/>
    <x v="19"/>
  </r>
  <r>
    <x v="20"/>
    <s v="F21 Trabajo en equipo con los programas educativos de la Universidad."/>
    <x v="1"/>
    <x v="11"/>
  </r>
  <r>
    <x v="20"/>
    <s v="F22. Contar con un rubro presupuestal independiente "/>
    <x v="6"/>
    <x v="15"/>
  </r>
  <r>
    <x v="20"/>
    <s v="F23. Cuenta Roles, responsabilidades y autoridades frente al SIG. establecidas en resolución rectoral 019 de 2018."/>
    <x v="0"/>
    <x v="16"/>
  </r>
  <r>
    <x v="20"/>
    <s v="F24. Prerrequisito para la contratación del curso virtual de 50 horas"/>
    <x v="0"/>
    <x v="16"/>
  </r>
  <r>
    <x v="20"/>
    <s v="F25.Prerequisto para la contratación inducción del SG SST"/>
    <x v="0"/>
    <x v="16"/>
  </r>
  <r>
    <x v="20"/>
    <s v="F26. Implementación del SG-SST en un 95.5 según Resolución 0312 de 2019 dando cumplimiento al Decreto 1072 de 2015."/>
    <x v="0"/>
    <x v="5"/>
  </r>
  <r>
    <x v="20"/>
    <s v="F27. El proceso cuenta con gestores en las seccionales y extensiones."/>
    <x v="3"/>
    <x v="4"/>
  </r>
  <r>
    <x v="20"/>
    <s v="F28. Equipo de trabajo multidisciplinario que se apoya mutuamente."/>
    <x v="3"/>
    <x v="20"/>
  </r>
  <r>
    <x v="20"/>
    <s v="F29. Cumplimiento en el 100% de las inducciones y reinducciones al personal."/>
    <x v="3"/>
    <x v="12"/>
  </r>
  <r>
    <x v="20"/>
    <s v="F3. Sistematización de algunas actividades dentro de los procedimientos. (Lectores de códigos de barras, aplicativos de procesos de contratación docente.)"/>
    <x v="0"/>
    <x v="22"/>
  </r>
  <r>
    <x v="20"/>
    <s v="F30. Realización de reuniones frecuentes y pronto tratamiento de los casa reportados  - comité de convivencia laboral"/>
    <x v="0"/>
    <x v="3"/>
  </r>
  <r>
    <x v="20"/>
    <s v="F31.Campañas de comunicación relacionadas al SG SST con apoyo del proceso de comunicaciones de la Universidad de  Cundinamarca"/>
    <x v="0"/>
    <x v="3"/>
  </r>
  <r>
    <x v="20"/>
    <s v="F4. Participación de representante de SG-SST en el Comité  de Aseguramiento de la Calidad SAC, como invitado."/>
    <x v="1"/>
    <x v="11"/>
  </r>
  <r>
    <x v="20"/>
    <s v="F5. Planes de capacitación enfocados a la mejora continua de los funcionarios."/>
    <x v="3"/>
    <x v="12"/>
  </r>
  <r>
    <x v="20"/>
    <s v="F6. Equipo de trabajo comprometido con los objetivos del proceso."/>
    <x v="3"/>
    <x v="6"/>
  </r>
  <r>
    <x v="20"/>
    <s v="F7. Pago oportuno de la nomina y prestaciones sociales."/>
    <x v="0"/>
    <x v="31"/>
  </r>
  <r>
    <x v="20"/>
    <s v="F8. Crecimiento de los funcionarios a nivel académico."/>
    <x v="3"/>
    <x v="20"/>
  </r>
  <r>
    <x v="20"/>
    <s v="F9. Equipo de trabajo dedicado al desarrollo de software en la universidad de Cundinamarca."/>
    <x v="3"/>
    <x v="20"/>
  </r>
</pivotCacheRecords>
</file>

<file path=xl/pivotCache/pivotCacheRecords2.xml><?xml version="1.0" encoding="utf-8"?>
<pivotCacheRecords xmlns="http://schemas.openxmlformats.org/spreadsheetml/2006/main" xmlns:r="http://schemas.openxmlformats.org/officeDocument/2006/relationships" count="211">
  <r>
    <x v="0"/>
    <s v="O4. Apropiación de Políticas de ahorro de papel."/>
    <x v="0"/>
    <x v="0"/>
  </r>
  <r>
    <x v="1"/>
    <s v="O1. Participar activamente en programas de movilidad a nivel bilateral, multilateral y del sector privado "/>
    <x v="1"/>
    <x v="1"/>
  </r>
  <r>
    <x v="1"/>
    <s v="O2. Invitaciones de las IES extranjeras para obtener reconocimiento a nivel internacional."/>
    <x v="1"/>
    <x v="2"/>
  </r>
  <r>
    <x v="1"/>
    <s v="O3. Establecer mecanismos para promover la participación de estudiantes y docentes internacionales en los procesos académicos de la Universidad de Cundinamarca."/>
    <x v="1"/>
    <x v="3"/>
  </r>
  <r>
    <x v="1"/>
    <s v="O4. Aliados estratégicos nacionales e internacionales interesados en programas de doble titulación."/>
    <x v="0"/>
    <x v="4"/>
  </r>
  <r>
    <x v="1"/>
    <s v="O5. Generar estrategias de cooperación con el proceso de Bienestar universitario y las facultades que permitieron realizar acompañamientos y seguimientos a los intercambistas."/>
    <x v="2"/>
    <x v="5"/>
  </r>
  <r>
    <x v="1"/>
    <s v="O6. Generación de talleres, Webinars, espacios virtuales con temas de interés para la comunidad académica en general en diferentes idiomas, haciendo uso de las TICs"/>
    <x v="3"/>
    <x v="6"/>
  </r>
  <r>
    <x v="1"/>
    <s v="O7. Creación del primer boletín Dialogando con el Mundo para promover la internacionalización."/>
    <x v="2"/>
    <x v="5"/>
  </r>
  <r>
    <x v="2"/>
    <s v="O1. Masificación del uso de las redes sociales."/>
    <x v="3"/>
    <x v="6"/>
  </r>
  <r>
    <x v="3"/>
    <s v="O1: Plataforma tecnológica del SACES - CNA"/>
    <x v="3"/>
    <x v="6"/>
  </r>
  <r>
    <x v="3"/>
    <s v="O2:Oferta en el mercado del  Sistema de autoevaluación y acreditación institucional Modelo SAAI de SUIT Academusoft de la Universidad de Pamplona."/>
    <x v="1"/>
    <x v="1"/>
  </r>
  <r>
    <x v="3"/>
    <s v="O4. Creación y fortalecimiento de alianzas con IES y/o empresas"/>
    <x v="1"/>
    <x v="2"/>
  </r>
  <r>
    <x v="3"/>
    <s v="O3: Documentos externos que soportan los procesos de registro calificado, condiciones iniciales de acreditación de programas, ejercicios de autoevaluación (Normas, Guías)"/>
    <x v="4"/>
    <x v="7"/>
  </r>
  <r>
    <x v="3"/>
    <s v="O7. Diseño del aplicativo Sistema de Aseguramiento de la Calidad de la Educación Superior - SACES institucional "/>
    <x v="3"/>
    <x v="6"/>
  </r>
  <r>
    <x v="3"/>
    <s v="O8. Implementación del nuevo modelo de acreditación en la institución"/>
    <x v="1"/>
    <x v="2"/>
  </r>
  <r>
    <x v="3"/>
    <s v="O9. Acreditación de los programas académicos en sede, seccionales y extensiones"/>
    <x v="1"/>
    <x v="2"/>
  </r>
  <r>
    <x v="3"/>
    <s v="O10. Ampliación de los tiempos para el desarrollo de los planes de mejoramiento producto de la autoevaluación"/>
    <x v="0"/>
    <x v="8"/>
  </r>
  <r>
    <x v="2"/>
    <s v="O2. Sistema General de Regalías en el sector público."/>
    <x v="4"/>
    <x v="9"/>
  </r>
  <r>
    <x v="2"/>
    <s v="O3. Las diferentes problemáticas de la comunidad."/>
    <x v="2"/>
    <x v="5"/>
  </r>
  <r>
    <x v="2"/>
    <s v="O4. Políticas y beneficios para el tema de posconflicto establecidas por el gobierno."/>
    <x v="0"/>
    <x v="0"/>
  </r>
  <r>
    <x v="2"/>
    <s v="O5. Amplio mercado de entidades públicas para la búsqueda de celebración de contratos."/>
    <x v="1"/>
    <x v="3"/>
  </r>
  <r>
    <x v="4"/>
    <s v="O4. Los lineamientos de acreditación pueden fortalecer aspectos como la infraestructura tecnológica y la gestión administrativa de la Institución."/>
    <x v="3"/>
    <x v="10"/>
  </r>
  <r>
    <x v="4"/>
    <s v="O3. La articulación y el apoyo con otras entidades es asertivo y eficiente."/>
    <x v="1"/>
    <x v="1"/>
  </r>
  <r>
    <x v="5"/>
    <s v="O5. Los lineamientos y normas legales se cumplen en las prácticas del proceso."/>
    <x v="4"/>
    <x v="7"/>
  </r>
  <r>
    <x v="6"/>
    <s v="O2. Capacitación permanente a los directivos de el área financiera con entidades altamente calificada."/>
    <x v="2"/>
    <x v="5"/>
  </r>
  <r>
    <x v="7"/>
    <s v="O1. Demanda de profesionales en la región."/>
    <x v="2"/>
    <x v="5"/>
  </r>
  <r>
    <x v="7"/>
    <s v="O2 Demanda de programas de postgrado virtuales"/>
    <x v="1"/>
    <x v="11"/>
  </r>
  <r>
    <x v="7"/>
    <s v="O3 Existencia de políticas de acreditación de los programas académicos"/>
    <x v="0"/>
    <x v="0"/>
  </r>
  <r>
    <x v="7"/>
    <s v="O4 Disponibilidad, necesidad de conservación y uso de recursos naturales"/>
    <x v="5"/>
    <x v="12"/>
  </r>
  <r>
    <x v="7"/>
    <s v="O5 Ubicación estratégica de la Universidad en la región "/>
    <x v="1"/>
    <x v="2"/>
  </r>
  <r>
    <x v="7"/>
    <s v="O6. Alta demanda de graduados para la oferta de posgrados "/>
    <x v="2"/>
    <x v="5"/>
  </r>
  <r>
    <x v="7"/>
    <s v="O7. Alta posibilidad de alianzas estratégicas - convenios interinstitucionales e internacionales"/>
    <x v="1"/>
    <x v="2"/>
  </r>
  <r>
    <x v="7"/>
    <s v="O8. Disponibilidad y cualificación en el uso y apropiación de tecnologías."/>
    <x v="3"/>
    <x v="6"/>
  </r>
  <r>
    <x v="7"/>
    <s v="O9. Actualización e implementación de normatividad legal aplicable"/>
    <x v="4"/>
    <x v="9"/>
  </r>
  <r>
    <x v="7"/>
    <s v="O10. Proyección de nueva oferta académica para sede seccionales y extensiones"/>
    <x v="1"/>
    <x v="3"/>
  </r>
  <r>
    <x v="7"/>
    <s v="O12. Apropiación de la licencia suite adobe"/>
    <x v="3"/>
    <x v="6"/>
  </r>
  <r>
    <x v="7"/>
    <s v="O13. Examen clasificatorio de Inglés para docentes y estudiantes (Marco Común Europeo)"/>
    <x v="2"/>
    <x v="5"/>
  </r>
  <r>
    <x v="7"/>
    <s v="O14. Designación de un representante de postgrados en el comité de investigación y en el consejo académico"/>
    <x v="2"/>
    <x v="5"/>
  </r>
  <r>
    <x v="7"/>
    <s v="O15.Implementación de estrategias que motiven a los estudiantes en el proceso de aprendizaje de la segunda lengua en los programas de pregrado y postgrados"/>
    <x v="2"/>
    <x v="5"/>
  </r>
  <r>
    <x v="7"/>
    <s v="O16. Implementar un examen de suficiencia con el fin dar cumplimiento a los requisitos de grado"/>
    <x v="2"/>
    <x v="5"/>
  </r>
  <r>
    <x v="7"/>
    <s v="O17. Contar con una oficina de mercadeo para los programas académicos  postgraduales en oferta "/>
    <x v="1"/>
    <x v="3"/>
  </r>
  <r>
    <x v="7"/>
    <s v="O18. Implementación de la herramienta tu experiencia de aprendizaje on line en los procesos académicos sincrónicos y asincrónicos."/>
    <x v="3"/>
    <x v="6"/>
  </r>
  <r>
    <x v="8"/>
    <s v="O1. Apoyo del Gobierno Local y Entes Externos en campañas de Bienestar para los estudiantes"/>
    <x v="0"/>
    <x v="4"/>
  </r>
  <r>
    <x v="8"/>
    <s v="O2. Lineamientos de acreditación de programas e institucional, que permitan la aplicación y operación en el proceso."/>
    <x v="4"/>
    <x v="7"/>
  </r>
  <r>
    <x v="9"/>
    <s v="O1 - Convocatorias externas permanentes para financiar proyectos de investigación "/>
    <x v="1"/>
    <x v="3"/>
  </r>
  <r>
    <x v="5"/>
    <s v="O1. Inversión Pública y Privada para emprender convenios, proyectos de Investigación, Desarrollo, Innovación y Postconflicto"/>
    <x v="6"/>
    <x v="13"/>
  </r>
  <r>
    <x v="0"/>
    <s v="O2. Mayor entrada de recursos por estampilla."/>
    <x v="6"/>
    <x v="14"/>
  </r>
  <r>
    <x v="5"/>
    <s v="O4. Posibilidad de crear y fortalecer nuevas alianzas estratégicas con instituciones de educación superior."/>
    <x v="1"/>
    <x v="2"/>
  </r>
  <r>
    <x v="0"/>
    <s v="O3. Actualización normativa."/>
    <x v="4"/>
    <x v="9"/>
  </r>
  <r>
    <x v="10"/>
    <s v="O3. Posibilidad de crear y fortalecer nuevas alianzas estratégicas con empresas e instituciones de educación superior."/>
    <x v="1"/>
    <x v="2"/>
  </r>
  <r>
    <x v="5"/>
    <s v="O3. Lineamientos claros por parte del Ministerio de Educación Nacional para el sector"/>
    <x v="4"/>
    <x v="7"/>
  </r>
  <r>
    <x v="0"/>
    <s v="O1. Ley 594 de 2000 y Normas concordantes."/>
    <x v="4"/>
    <x v="9"/>
  </r>
  <r>
    <x v="11"/>
    <s v="O3. Expedición de normas nacionales aplicables al proceso"/>
    <x v="4"/>
    <x v="9"/>
  </r>
  <r>
    <x v="12"/>
    <s v="O1: Posibilidad de Certificar la Web Institución "/>
    <x v="1"/>
    <x v="2"/>
  </r>
  <r>
    <x v="13"/>
    <s v="O3. Modelo Integrado de Planeación y Gestión."/>
    <x v="4"/>
    <x v="9"/>
  </r>
  <r>
    <x v="10"/>
    <s v="O11. Fortalecimiento de la inspección, vigilancia y control en Colombia."/>
    <x v="4"/>
    <x v="15"/>
  </r>
  <r>
    <x v="14"/>
    <s v="O1. Accesibilidad Capacitaciones con Entes Externos"/>
    <x v="1"/>
    <x v="3"/>
  </r>
  <r>
    <x v="12"/>
    <s v="O3: Posibilidad de generar relaciones interinstitucionales con universidades del país e instituciones académicas a nivel mundial."/>
    <x v="1"/>
    <x v="2"/>
  </r>
  <r>
    <x v="13"/>
    <s v="O1. Generar transferencia de conocimiento a través de la Educación Continuada."/>
    <x v="1"/>
    <x v="3"/>
  </r>
  <r>
    <x v="13"/>
    <s v="O4. Falta de competencia de las oficinas de control interno de la región"/>
    <x v="1"/>
    <x v="1"/>
  </r>
  <r>
    <x v="15"/>
    <s v="O1. Alto Potencial de demanda de servicios de la Oficina a través de las Decanaturas y Oficinas."/>
    <x v="1"/>
    <x v="3"/>
  </r>
  <r>
    <x v="15"/>
    <s v="O5. Amplia demanda de Formación en competencias y actualización en conocimientos específicos para la Comunidad en General."/>
    <x v="1"/>
    <x v="3"/>
  </r>
  <r>
    <x v="11"/>
    <s v="O2. Capacitaciones con Entes Externos"/>
    <x v="1"/>
    <x v="3"/>
  </r>
  <r>
    <x v="14"/>
    <s v="O2. Fortalecimiento de los canales de comunicación con los Proveedores"/>
    <x v="1"/>
    <x v="2"/>
  </r>
  <r>
    <x v="14"/>
    <s v="O5. Estudiantes de carrera profesional en búsqueda de pasantías como opción de grado"/>
    <x v="2"/>
    <x v="5"/>
  </r>
  <r>
    <x v="9"/>
    <s v="O2 - Convocatorias externas para acceder a los recursos  que fortalezcan el proceso de investigación en la Universidad de Cundinamarca. "/>
    <x v="1"/>
    <x v="2"/>
  </r>
  <r>
    <x v="9"/>
    <s v="O4- Por ser una universidad regional y de provincia, es requerida para participar en proyectos de investigación con otras entidades. "/>
    <x v="1"/>
    <x v="2"/>
  </r>
  <r>
    <x v="12"/>
    <s v="O2: Espacios publicitarios que se pueden adquirir en los especiales de educación de los medios de comunicación con cobertura nacional"/>
    <x v="2"/>
    <x v="16"/>
  </r>
  <r>
    <x v="16"/>
    <s v="O2. Amplia oferta en el mercado de elementos, y equipos que permiten dotar, actualizar  y modernizar los espacios académicos."/>
    <x v="1"/>
    <x v="3"/>
  </r>
  <r>
    <x v="10"/>
    <s v="O1. Amplia oferta de empresas consultoras"/>
    <x v="1"/>
    <x v="3"/>
  </r>
  <r>
    <x v="10"/>
    <s v="O6. Los sistemas de información de la universidad bloquean el acceso a hackers que puedan afectar al proceso."/>
    <x v="3"/>
    <x v="17"/>
  </r>
  <r>
    <x v="4"/>
    <s v="O2. Apoyos a través de la modalidad virtual en temas de Gobierno Digital y Protección de Datos por parte de Min TIC y Superintendencia de Industria y Comercio"/>
    <x v="3"/>
    <x v="6"/>
  </r>
  <r>
    <x v="9"/>
    <s v="O5 - Creciente implantación de universidades privadas en la provincia, para posibles alianzas estratégicas. "/>
    <x v="1"/>
    <x v="1"/>
  </r>
  <r>
    <x v="16"/>
    <s v="O4. Participación en redes académicas."/>
    <x v="1"/>
    <x v="3"/>
  </r>
  <r>
    <x v="15"/>
    <s v="O3. Posibilidad de crear alianzas o convenios empresariales con entidades públicas o privadas para el desarrollo de la Política de Interacción Social Universitaria en la región."/>
    <x v="1"/>
    <x v="2"/>
  </r>
  <r>
    <x v="15"/>
    <s v="O4. Amplio Nicho de mercado sin ser atendido."/>
    <x v="2"/>
    <x v="5"/>
  </r>
  <r>
    <x v="9"/>
    <s v="O6 - Participación en eventos científicos nacionales e internacionales para semilleristas y docentes investigadores"/>
    <x v="1"/>
    <x v="1"/>
  </r>
  <r>
    <x v="9"/>
    <s v="O7 - Participación en la secretaria de Ciencia, tecnología e Innovación del Departamento de Cundinamarca."/>
    <x v="1"/>
    <x v="2"/>
  </r>
  <r>
    <x v="15"/>
    <s v="O2. Reconocimiento y competitividad que tiene la Universidad a nivel local y regional."/>
    <x v="1"/>
    <x v="2"/>
  </r>
  <r>
    <x v="10"/>
    <s v="O7. Se considera a la Universidad preparada para la adquisición y utilización de nuevos equipos y servicios tecnológicos que mejoren el desarrollo del proceso."/>
    <x v="3"/>
    <x v="10"/>
  </r>
  <r>
    <x v="10"/>
    <s v="O5. Nueva orientación de la documentación en las nuevas versiones de ISO Estructura alto nivel"/>
    <x v="4"/>
    <x v="7"/>
  </r>
  <r>
    <x v="17"/>
    <s v="O1. Apoyo normativo por parte de los entes de control (conceptos, remisión, quejas por competencias)."/>
    <x v="4"/>
    <x v="15"/>
  </r>
  <r>
    <x v="13"/>
    <s v="O2. Información Actualizada enviada por Entes de Control Interno."/>
    <x v="4"/>
    <x v="15"/>
  </r>
  <r>
    <x v="11"/>
    <s v="O1. Posibilidad de crear y fortalecer nuevas alianzas estratégicas con empresas e instituciones de educación superior."/>
    <x v="1"/>
    <x v="2"/>
  </r>
  <r>
    <x v="6"/>
    <s v="O1. Buenas relaciones con las entidades públicas y privadas externas."/>
    <x v="0"/>
    <x v="4"/>
  </r>
  <r>
    <x v="18"/>
    <s v="O1. Libre acceso a Jurisprudencia aplicable al proceso."/>
    <x v="0"/>
    <x v="4"/>
  </r>
  <r>
    <x v="18"/>
    <s v="O2 Solicitud de conceptos a Entes de Control y diferentes Órganos de Gobierno que permitan orientar los conceptos y la Gestión realizada por el Proceso."/>
    <x v="0"/>
    <x v="4"/>
  </r>
  <r>
    <x v="18"/>
    <s v="O3. Realizar los procesos de contratación conforme a la ley."/>
    <x v="0"/>
    <x v="18"/>
  </r>
  <r>
    <x v="18"/>
    <s v="O4. Adquisición de nuevos equipos tecnológicos y nuevos softwares."/>
    <x v="3"/>
    <x v="10"/>
  </r>
  <r>
    <x v="18"/>
    <s v="O5. Política y objetivos ambientales que buscan regular las actividades de la Universidad."/>
    <x v="0"/>
    <x v="0"/>
  </r>
  <r>
    <x v="18"/>
    <s v="O6. Credibilidad y confianza en la prestación de los servicios, los contratos y los convenios."/>
    <x v="1"/>
    <x v="2"/>
  </r>
  <r>
    <x v="18"/>
    <s v="O7. Actualización y articulación del proceso en pro del cumplimiento de la normatividad externa y en pro del cumplimiento del plan de desarrollo estratégico y rectoral - decreto 1330- política de inclusión"/>
    <x v="0"/>
    <x v="0"/>
  </r>
  <r>
    <x v="18"/>
    <s v="O8. Espacios que garanticen la innovación y el aprendizaje de los funcionarios del proceso."/>
    <x v="2"/>
    <x v="5"/>
  </r>
  <r>
    <x v="5"/>
    <s v="O2. Cooperación Interinstitucional con Gobierno, Ministerio, Función Pública y Entidades Públicas y Privadas"/>
    <x v="0"/>
    <x v="4"/>
  </r>
  <r>
    <x v="4"/>
    <s v="O1. Articulación con la Subdirección de Seguridad y Privacidad de la información, del Ministerio de Tecnologías de Información y Comunicación - Min TIC en la implementación de la Norma ISO 27001:2013 "/>
    <x v="4"/>
    <x v="9"/>
  </r>
  <r>
    <x v="13"/>
    <s v="O5. Auditorías por parte de entes de control"/>
    <x v="4"/>
    <x v="15"/>
  </r>
  <r>
    <x v="9"/>
    <s v="O3 - Problemáticas de las regiones"/>
    <x v="2"/>
    <x v="5"/>
  </r>
  <r>
    <x v="16"/>
    <s v="O5. Atender la demanda en las solicitudes externas de los espacios académicos."/>
    <x v="2"/>
    <x v="5"/>
  </r>
  <r>
    <x v="10"/>
    <s v="O8. Existen  política y objetivos ambientales que buscan regular las actividades de la Universidad."/>
    <x v="0"/>
    <x v="0"/>
  </r>
  <r>
    <x v="15"/>
    <s v="O6. Amplia necesidad de Fortalecer el tejido social y humano a las comunidades que lo requieran."/>
    <x v="2"/>
    <x v="5"/>
  </r>
  <r>
    <x v="15"/>
    <s v="O7. Necesidad de transferir conocimientos por parte de las Instituciones de Educación Superior a la sociedad."/>
    <x v="2"/>
    <x v="5"/>
  </r>
  <r>
    <x v="16"/>
    <s v="O1. Reconocimiento por el cumplimiento de requisitos ambientales."/>
    <x v="1"/>
    <x v="2"/>
  </r>
  <r>
    <x v="12"/>
    <s v="O4: Posicionamiento de redes sociales de la institución como un medio de comunicación masivo "/>
    <x v="3"/>
    <x v="6"/>
  </r>
  <r>
    <x v="10"/>
    <s v="O2. Software de SGC en el mercado "/>
    <x v="3"/>
    <x v="10"/>
  </r>
  <r>
    <x v="14"/>
    <s v="O4. Optimización del Uso de las Tecnologías de la información disponibles"/>
    <x v="3"/>
    <x v="10"/>
  </r>
  <r>
    <x v="16"/>
    <s v="O6. Posibilidad de crear y fortalecer nuevas alianzas interbibliotecarias."/>
    <x v="1"/>
    <x v="2"/>
  </r>
  <r>
    <x v="16"/>
    <s v="O7. Posicionamiento estratégico en la región."/>
    <x v="1"/>
    <x v="2"/>
  </r>
  <r>
    <x v="16"/>
    <s v="O8. Posibilidad de obtener certificaciones por entes externos por el buen desempeño y labor de la universidad en la ejecución de sus actividades."/>
    <x v="1"/>
    <x v="2"/>
  </r>
  <r>
    <x v="16"/>
    <s v="O3. Desarrollo de nuevas tecnologías."/>
    <x v="3"/>
    <x v="10"/>
  </r>
  <r>
    <x v="16"/>
    <s v="O9. Proyectos de inclusión que se adecuen y satisfagan las necesidades de la institución (sede, seccionales y extensiones). "/>
    <x v="1"/>
    <x v="3"/>
  </r>
  <r>
    <x v="16"/>
    <s v="O10. Capacitación por entes externos a funcionarios y docentes de la institución en materia de inclusión"/>
    <x v="2"/>
    <x v="5"/>
  </r>
  <r>
    <x v="16"/>
    <s v="O11. Participación en eventos y ferias agroindustriales (ganadería)."/>
    <x v="1"/>
    <x v="2"/>
  </r>
  <r>
    <x v="19"/>
    <s v="O1. Demanda en la Educación virtual en programas de Postgrado."/>
    <x v="1"/>
    <x v="11"/>
  </r>
  <r>
    <x v="19"/>
    <s v="O2. Crecimiento de la población estudiantil. "/>
    <x v="2"/>
    <x v="5"/>
  </r>
  <r>
    <x v="19"/>
    <s v="O3. Becas otorgadas por convenios interinstitucionales."/>
    <x v="0"/>
    <x v="4"/>
  </r>
  <r>
    <x v="19"/>
    <s v="O4. Baja competencia en la región donde hace presencia la Institución."/>
    <x v="1"/>
    <x v="1"/>
  </r>
  <r>
    <x v="19"/>
    <s v="O5. La expedición de la norma de Inclusión "/>
    <x v="4"/>
    <x v="9"/>
  </r>
  <r>
    <x v="19"/>
    <s v="O6. Ofertar nuevos programas académicos teniendo en cuenta las necesidades del sector."/>
    <x v="1"/>
    <x v="3"/>
  </r>
  <r>
    <x v="19"/>
    <s v="O7. Articulación y apoyo con otras entidades (publicas y/o privadas)."/>
    <x v="1"/>
    <x v="2"/>
  </r>
  <r>
    <x v="19"/>
    <s v="O8. Adquisición de nuevos equipos tecnológicos."/>
    <x v="3"/>
    <x v="10"/>
  </r>
  <r>
    <x v="19"/>
    <s v="O9. Certificaciones ambientales."/>
    <x v="1"/>
    <x v="2"/>
  </r>
  <r>
    <x v="19"/>
    <s v="O10. Alianzas estratégicas con empresas e instituciones de educación superior"/>
    <x v="1"/>
    <x v="2"/>
  </r>
  <r>
    <x v="19"/>
    <s v="O11. Actualización de documentación articulada a política de inclusión para garantizar la accesibilidad a todos los aspirantes (caracterización estudiantil)"/>
    <x v="0"/>
    <x v="0"/>
  </r>
  <r>
    <x v="19"/>
    <s v="O12. Oferta en el mercado de mecanismos digitales que permiten identificar la población académica en condiciones de discapacidad y vulnerabilidad"/>
    <x v="3"/>
    <x v="10"/>
  </r>
  <r>
    <x v="19"/>
    <s v="O13. Participación en ferias y actividades de oferta académica"/>
    <x v="1"/>
    <x v="2"/>
  </r>
  <r>
    <x v="19"/>
    <s v="O14. Capacitación al personal del proceso en materia de inclusión"/>
    <x v="2"/>
    <x v="5"/>
  </r>
  <r>
    <x v="20"/>
    <s v="O1. Apoyo de caja de compensación familiar para actividades de capacitación y de bienestar social laboral"/>
    <x v="2"/>
    <x v="5"/>
  </r>
  <r>
    <x v="20"/>
    <s v="O2. Oferta en el mercado nuevos sistemas de información para la liquidación de nomina "/>
    <x v="3"/>
    <x v="6"/>
  </r>
  <r>
    <x v="20"/>
    <s v="O3. Oferta en el mercado de operador para realizar los pagos de seguridad social y parafiscales"/>
    <x v="3"/>
    <x v="6"/>
  </r>
  <r>
    <x v="20"/>
    <s v="O4. Posibilidad de utilizar la plataforma de EPS en línea para realizar afiliaciones"/>
    <x v="3"/>
    <x v="6"/>
  </r>
  <r>
    <x v="20"/>
    <s v="O5. Estudiantes de ultimo semestre de carreras afines al Proceso que puedan realizar sus pasantías y funcionarios que puedan apoyar el desarrollo de las actividades programadas por la Dirección de Talento Humano."/>
    <x v="2"/>
    <x v="5"/>
  </r>
  <r>
    <x v="20"/>
    <s v="O6. Contar con la colaboración de empresas aliadas comercialmente con la Universidad que dentro de sus actividades proporcionen su colaboración en actividades plasmadas por la oficina EPS, ARL, Cajas de Compensación"/>
    <x v="2"/>
    <x v="5"/>
  </r>
  <r>
    <x v="20"/>
    <s v="O7. Fortalecimiento en la cultura de autocuidado en las partes interesadas de la Universidad."/>
    <x v="2"/>
    <x v="19"/>
  </r>
  <r>
    <x v="20"/>
    <s v="O8. Apropiación de los hábitos de vida saludables."/>
    <x v="2"/>
    <x v="5"/>
  </r>
  <r>
    <x v="20"/>
    <s v="O9. Sistematización y automatización de los procesos"/>
    <x v="3"/>
    <x v="10"/>
  </r>
  <r>
    <x v="20"/>
    <s v="O10. Generar estricto cumplimiento de las incapacidades  y recomendaciones medicas"/>
    <x v="4"/>
    <x v="9"/>
  </r>
  <r>
    <x v="20"/>
    <s v="O11. Desarrollo de actividades  con otras instituciones  fortaleciendo el plan de  ayuda mutua."/>
    <x v="1"/>
    <x v="2"/>
  </r>
  <r>
    <x v="20"/>
    <s v="O12. Promoción del SG SST en las seccionales y extensiones."/>
    <x v="4"/>
    <x v="7"/>
  </r>
  <r>
    <x v="20"/>
    <s v="O13 Trabajo articulado con la Oficina de Atención al Ciudadano en pro del servicio al cliente interno"/>
    <x v="0"/>
    <x v="4"/>
  </r>
  <r>
    <x v="20"/>
    <s v="O 14 Trabajo articulado con la Oficina Asesora de Comunicaciones para trabajar temas de Clima y Cultura Organizacional"/>
    <x v="0"/>
    <x v="4"/>
  </r>
  <r>
    <x v="14"/>
    <s v="O6. Los lineamientos de acreditación pueden fortalecer aspectos como la infraestructura y la gestión administrativa de la Institución."/>
    <x v="4"/>
    <x v="7"/>
  </r>
  <r>
    <x v="14"/>
    <s v="O7. La normatividad legal, reglamentación interna y los tiempos de aplicación en la contratación son conocidos y ejecutados por la Institución."/>
    <x v="0"/>
    <x v="0"/>
  </r>
  <r>
    <x v="14"/>
    <s v="O8. Oportunidad de adquirir nuevos softwares que optimicen las actividades del proceso."/>
    <x v="3"/>
    <x v="10"/>
  </r>
  <r>
    <x v="14"/>
    <s v="O9. Posibilidad de crear y fortalecer nuevas alianzas estratégicas con empresas e instituciones de educación superior."/>
    <x v="1"/>
    <x v="2"/>
  </r>
  <r>
    <x v="14"/>
    <s v="O10. La universidad se reconoce en la región y el Departamento como competitiva en educación superior."/>
    <x v="1"/>
    <x v="2"/>
  </r>
  <r>
    <x v="14"/>
    <s v="O11. Aumento en la tendencia de la Educación Virtual, tanto formal como informal. "/>
    <x v="1"/>
    <x v="1"/>
  </r>
  <r>
    <x v="14"/>
    <s v="O13. Desarrollo de plataformas tecnológicos que facilitan la creación, generación de empresa y el emprendimiento."/>
    <x v="3"/>
    <x v="10"/>
  </r>
  <r>
    <x v="14"/>
    <s v="O14. Incremento del nivel de aceptación de la formación virtual  por parte de la población."/>
    <x v="2"/>
    <x v="5"/>
  </r>
  <r>
    <x v="14"/>
    <s v="O15. Incursión de tendencias como el e-commerce como instrumentos de generación de empleo."/>
    <x v="3"/>
    <x v="10"/>
  </r>
  <r>
    <x v="14"/>
    <s v="O3. Formulación de proyectos de inversión orientados a la eliminación de barreras arquitectónicas y otros elementos inclusivos."/>
    <x v="0"/>
    <x v="0"/>
  </r>
  <r>
    <x v="12"/>
    <s v="O5. Posibilidad de adquirir equipos tecnológicos acordes a las necesidades del mercado de las comunicaciones"/>
    <x v="3"/>
    <x v="10"/>
  </r>
  <r>
    <x v="12"/>
    <s v="O6. Crear un manual de redacción y estilo para la página web, periódico y redes sociales"/>
    <x v="2"/>
    <x v="5"/>
  </r>
  <r>
    <x v="12"/>
    <s v="O7. Capacitación sobre el desarrollo de contenido inclusivo, dentro de ello se tiene proyectada la aplicación de subtítulos en los videos"/>
    <x v="2"/>
    <x v="5"/>
  </r>
  <r>
    <x v="12"/>
    <s v="O8. Contar con una herramienta que permita medir la percepción de las partes interesadas frente a los diferentes medios institucionales"/>
    <x v="3"/>
    <x v="10"/>
  </r>
  <r>
    <x v="0"/>
    <s v="O5. Adquisición de nuevo equipos y aplicativos para la digitalización y conservación del archivo"/>
    <x v="3"/>
    <x v="10"/>
  </r>
  <r>
    <x v="0"/>
    <s v="O6. Cumplimiento de la promesa de valor por parte de la Universidad"/>
    <x v="4"/>
    <x v="20"/>
  </r>
  <r>
    <x v="0"/>
    <s v="O7. Adquisición de instrumentos archivísticos"/>
    <x v="3"/>
    <x v="10"/>
  </r>
  <r>
    <x v="7"/>
    <s v="O11. Cumplimiento de la promesa de valor de la Universidad"/>
    <x v="4"/>
    <x v="20"/>
  </r>
  <r>
    <x v="15"/>
    <s v="O8. Oferta de pasantes para el apoyo en la ejecución de las actividades del proceso."/>
    <x v="2"/>
    <x v="5"/>
  </r>
  <r>
    <x v="15"/>
    <s v="O9. Tecnologías de la información disponibles en la Institución que permitan optimizar las actividades que realiza actualmente el proceso."/>
    <x v="3"/>
    <x v="10"/>
  </r>
  <r>
    <x v="15"/>
    <s v="O10. Lineamientos de acreditación de programas e institucional, que permitan la aplicación y operación en el proceso."/>
    <x v="4"/>
    <x v="7"/>
  </r>
  <r>
    <x v="15"/>
    <s v="O11. Herramientas de medición encaminadas a conocer el contexto y el aumento de controles (entre otros), que le generen valor al proceso y permitan la toma de decisiones"/>
    <x v="3"/>
    <x v="10"/>
  </r>
  <r>
    <x v="15"/>
    <s v="O12. Accesibilidad de la comunidad universitaria a canales de comunicación como redes sociales y plataformas digitales"/>
    <x v="2"/>
    <x v="16"/>
  </r>
  <r>
    <x v="15"/>
    <s v="O13. Herramientas informáticas que ayudarían en la gestión y oportunidad de las actividades del proceso."/>
    <x v="3"/>
    <x v="6"/>
  </r>
  <r>
    <x v="15"/>
    <s v="O14. La implementación de políticas misionales encaminadas al desarrollo institucional (Ciencia, Tecnología e Investigación, Dialogando con el Mundo, Interacción Social Universitaria, Inclusión entre otras)"/>
    <x v="0"/>
    <x v="0"/>
  </r>
  <r>
    <x v="15"/>
    <s v="O15. Plan Rectoral y Plan de Desarrollo encaminados a fortalecer la Interacción Social Universitaria como pilar fundamental de la gestión universitaria en los próximos 4 años"/>
    <x v="0"/>
    <x v="0"/>
  </r>
  <r>
    <x v="15"/>
    <s v="O16. Redes en las cuales tiene presencia la universidad como ASCUN o FODESEP para fortalecer la competencia de los funcionarios en temas relacionados con el proceso"/>
    <x v="1"/>
    <x v="2"/>
  </r>
  <r>
    <x v="5"/>
    <s v="O7. La implementación de políticas misionales encaminadas al desarrollo institucional (Ciencia, Tecnología e Investigación, Dialogando con el Mundo, Interacción Social Universitaria, Inclusión entre otras)"/>
    <x v="0"/>
    <x v="0"/>
  </r>
  <r>
    <x v="5"/>
    <s v="O6. Ser la Universidad Pública del Departamento con presencia en 7 Municipios."/>
    <x v="1"/>
    <x v="2"/>
  </r>
  <r>
    <x v="11"/>
    <s v="O4. Adquisición de nuevos equipos  y/o servicios tecnológicos"/>
    <x v="3"/>
    <x v="10"/>
  </r>
  <r>
    <x v="11"/>
    <s v="O5. Certificaciones por entes externos por el buen desempeño y labor de la universidad en la ejecución de sus actividades."/>
    <x v="1"/>
    <x v="2"/>
  </r>
  <r>
    <x v="11"/>
    <s v="O6. Articulación de la documentación del proceso a la política de inclusión - dialogando con el mundo - decreto 1330"/>
    <x v="0"/>
    <x v="0"/>
  </r>
  <r>
    <x v="11"/>
    <s v="O7. Crecimiento del proceso mediante la adopción y aplicación de normatividad interna y externa y herramientas en el mercado que faciliten y mejoren la prestación del servicio"/>
    <x v="1"/>
    <x v="3"/>
  </r>
  <r>
    <x v="11"/>
    <s v="O8. Voluntariado internacional para la política de inclusión y dialogando con el mundo, que permita prestar nuevos servicios a la comunidad universitaria y a la comunidad en general "/>
    <x v="2"/>
    <x v="5"/>
  </r>
  <r>
    <x v="11"/>
    <s v="O9. Oferta en el mercado de chats interactivos más prácticos y eficientes que permitan también generar informes estadísticos"/>
    <x v="3"/>
    <x v="10"/>
  </r>
  <r>
    <x v="11"/>
    <s v="O10. Capacitaciones en cultura de servicio y neurolingüística con enfoque inclusivo."/>
    <x v="2"/>
    <x v="5"/>
  </r>
  <r>
    <x v="10"/>
    <s v="O9. La implementación de políticas misionales encaminadas al desarrollo institucional (Ciencia, Tecnología e Investigación, Dialogando con el Mundo, Interacción Social Universitaria, Inclusión entre otras)"/>
    <x v="0"/>
    <x v="0"/>
  </r>
  <r>
    <x v="10"/>
    <s v="O10. Lineamientos de acreditación de programas e institucional, que permitan la aplicación y operación en el proceso."/>
    <x v="4"/>
    <x v="7"/>
  </r>
  <r>
    <x v="10"/>
    <s v="O4. Existe un direccionamiento para la aplicabilidad de la normatividad legal en el proceso."/>
    <x v="4"/>
    <x v="7"/>
  </r>
  <r>
    <x v="8"/>
    <s v="O6. Perfiles profesionales de Talento Humano enfocados a tratar temas de permanencia en los estudiantes"/>
    <x v="2"/>
    <x v="5"/>
  </r>
  <r>
    <x v="8"/>
    <s v="O7. Plan Rectoral y Plan de Desarrollo encaminados a fortalecer la labor de Bienestar Universitario como pilar fundamental de la gestión universitaria en los próximos 4 años"/>
    <x v="0"/>
    <x v="0"/>
  </r>
  <r>
    <x v="8"/>
    <s v="O8. Construcción de la Política de Bienestar Universitario, con el fin de satisfacer las necesidades y expectativas de la Comunidad Universitaria"/>
    <x v="2"/>
    <x v="5"/>
  </r>
  <r>
    <x v="8"/>
    <s v="O3 . Posibilidad de crear y fortalecer nuevas alianzas y/o convenios estratégicos con empresas e instituciones de educación superior."/>
    <x v="1"/>
    <x v="2"/>
  </r>
  <r>
    <x v="8"/>
    <s v="04. Estudiantes motivados a participar en las actividades suministradas por Bienestar."/>
    <x v="2"/>
    <x v="5"/>
  </r>
  <r>
    <x v="8"/>
    <s v="O9. Accesibilidad a capacitaciones con Entes Externos."/>
    <x v="2"/>
    <x v="5"/>
  </r>
  <r>
    <x v="9"/>
    <s v="O8 - Adquisición de nuevos software que optimicen las actividades del proceso"/>
    <x v="3"/>
    <x v="10"/>
  </r>
  <r>
    <x v="9"/>
    <s v="O9- Conformación de la Editorial de la Universidad de Cundinamarca"/>
    <x v="1"/>
    <x v="2"/>
  </r>
  <r>
    <x v="9"/>
    <s v="O10- Convocatorias externas al Sistema General de Regalías "/>
    <x v="4"/>
    <x v="9"/>
  </r>
  <r>
    <x v="9"/>
    <s v="O11- Alianzas estratégicas con otras instituciones para el fortalecimiento de Ciencia, Tecnología e Innovación. "/>
    <x v="1"/>
    <x v="2"/>
  </r>
  <r>
    <x v="9"/>
    <s v="O12- Internacionalización de la Investigación "/>
    <x v="1"/>
    <x v="2"/>
  </r>
  <r>
    <x v="9"/>
    <s v="O13 - Aumento de recursos financieros para la Universidad (estampilla, de la Nación, Ciencia, Tecnología e Innovación)"/>
    <x v="6"/>
    <x v="14"/>
  </r>
  <r>
    <x v="4"/>
    <s v="O6.  La implementación de políticas misionales encaminadas al desarrollo institucional (Ciencia, Tecnología e Investigación, Dialogando con el Mundo, Interacción Social "/>
    <x v="0"/>
    <x v="0"/>
  </r>
  <r>
    <x v="4"/>
    <s v="O7.  Diversidad de la población Universitaria que puede acceder a los contenidos tecnológicos de la Institución"/>
    <x v="2"/>
    <x v="5"/>
  </r>
  <r>
    <x v="4"/>
    <s v="O5. Oportunidad de adquirir nuevos softwares que optimicen las actividades del proceso."/>
    <x v="3"/>
    <x v="10"/>
  </r>
  <r>
    <x v="13"/>
    <s v="O6. Sistematización del procedimiento de auditoría."/>
    <x v="3"/>
    <x v="17"/>
  </r>
  <r>
    <x v="13"/>
    <s v="O7. Articulación eficiente con entidades públicas y privadas."/>
    <x v="0"/>
    <x v="4"/>
  </r>
  <r>
    <x v="13"/>
    <s v="O8 Contar con Judicantes y Monitores."/>
    <x v="2"/>
    <x v="5"/>
  </r>
  <r>
    <x v="13"/>
    <s v="O9 Generar convenios inter administrativos de capacitación. "/>
    <x v="1"/>
    <x v="1"/>
  </r>
  <r>
    <x v="13"/>
    <s v="O10. Gestion del modelo  de control Interno por líneas de defensa  (Definido claramente los responsables por cada una de ellas)"/>
    <x v="1"/>
    <x v="1"/>
  </r>
  <r>
    <x v="13"/>
    <s v="O11. Gestion de recursos mediante la asignación de caja menor al proceso."/>
    <x v="6"/>
    <x v="21"/>
  </r>
  <r>
    <x v="13"/>
    <s v="O12. Integralidad del plan de auditoria teniendo en cuenta seccionales y extensiones "/>
    <x v="4"/>
    <x v="8"/>
  </r>
  <r>
    <x v="13"/>
    <s v="O13. Acceso a las bases de datos de la universidad ( legiscol y otras )"/>
    <x v="3"/>
    <x v="17"/>
  </r>
  <r>
    <x v="13"/>
    <s v="O14. Digitalización del procedimiento de auditoria (en la herramienta Integradoc)"/>
    <x v="1"/>
    <x v="1"/>
  </r>
  <r>
    <x v="13"/>
    <s v="O15. Formación de profesionales OPS, mediante acuerdos realizados con interacción universitaria y los proveedores. "/>
    <x v="2"/>
    <x v="5"/>
  </r>
  <r>
    <x v="13"/>
    <s v="O16. Teletrabajo o Trabajo desde casa."/>
    <x v="4"/>
    <x v="7"/>
  </r>
  <r>
    <x v="6"/>
    <s v="O1. Buenas relaciones con las entidades públicas y privadas externas."/>
    <x v="1"/>
    <x v="2"/>
  </r>
  <r>
    <x v="6"/>
    <s v="O3 El proceso hace uso de la oferta de pasantes que tiene la universidad"/>
    <x v="2"/>
    <x v="5"/>
  </r>
  <r>
    <x v="6"/>
    <s v="O4. posibilidad de actualización tecnológica."/>
    <x v="3"/>
    <x v="10"/>
  </r>
  <r>
    <x v="6"/>
    <s v="O5.Gestion con entidades bancarias para logran la ejecución de pagos a la comunidad en general de forma oportuna "/>
    <x v="0"/>
    <x v="4"/>
  </r>
  <r>
    <x v="6"/>
    <s v="O6 Sistematización del procedimientos devolución de matriculas articulado con el proceso Admisiones y registro"/>
    <x v="2"/>
    <x v="5"/>
  </r>
  <r>
    <x v="6"/>
    <s v="O7. Realizar capacitación a los supervisores en relación al cumplimiento de las directrices establecidos en el manual de contratación."/>
    <x v="2"/>
    <x v="5"/>
  </r>
</pivotCacheRecords>
</file>

<file path=xl/pivotCache/pivotCacheRecords3.xml><?xml version="1.0" encoding="utf-8"?>
<pivotCacheRecords xmlns="http://schemas.openxmlformats.org/spreadsheetml/2006/main" xmlns:r="http://schemas.openxmlformats.org/officeDocument/2006/relationships" count="172">
  <r>
    <x v="0"/>
    <s v="A2. Desastres naturales que afecten las instalaciones de la oficina"/>
    <x v="0"/>
    <x v="0"/>
  </r>
  <r>
    <x v="1"/>
    <s v="A1. La expedición del decreto 2450 de 2015 del MEN Resolución 18583 de 2017"/>
    <x v="1"/>
    <x v="1"/>
  </r>
  <r>
    <x v="1"/>
    <s v="A3. Cumplimiento de la normatividad nacional, departamental y local por declaración de calamidad pública"/>
    <x v="1"/>
    <x v="1"/>
  </r>
  <r>
    <x v="2"/>
    <s v="A1. Ley de garantías "/>
    <x v="1"/>
    <x v="1"/>
  </r>
  <r>
    <x v="2"/>
    <s v="A1. Universidades competidoras con mayor trayectoria y experiencia en modelos de contratación por medio de licitaciones."/>
    <x v="2"/>
    <x v="2"/>
  </r>
  <r>
    <x v="2"/>
    <s v="A2. Desconocimiento de las entidades públicas al respecto de la Dirección de Proyectos Especiales de la Universidad."/>
    <x v="2"/>
    <x v="3"/>
  </r>
  <r>
    <x v="2"/>
    <s v="A3. Dependencia de la aprobación de Planes de Desarrollo."/>
    <x v="3"/>
    <x v="4"/>
  </r>
  <r>
    <x v="2"/>
    <s v="A4. Cambios administrativos en las entidades con las cuales se suscriben los contratos."/>
    <x v="1"/>
    <x v="5"/>
  </r>
  <r>
    <x v="2"/>
    <s v="A5. Deterioro de la imagen de la Universidad de Cundinamarca."/>
    <x v="2"/>
    <x v="3"/>
  </r>
  <r>
    <x v="2"/>
    <s v="A6. No poder realizar gestión comercial para suscribir Convenios y/o Contratos, debido a la actual situación de pandemia que se esta viviendo a nivel mundial. "/>
    <x v="2"/>
    <x v="3"/>
  </r>
  <r>
    <x v="3"/>
    <s v="A3. Desconocimiento de la Normatividad Legal vigente."/>
    <x v="1"/>
    <x v="1"/>
  </r>
  <r>
    <x v="4"/>
    <s v="A5. Los tiempos en los que se transfieren los recursos de estampillas no son acordes a las necesidades de la Universidad."/>
    <x v="4"/>
    <x v="6"/>
  </r>
  <r>
    <x v="5"/>
    <s v="A6. Se presentan inconsistencias en los procesos de selección y contratación laboral (Demora, Conflicto de intereses)"/>
    <x v="3"/>
    <x v="4"/>
  </r>
  <r>
    <x v="6"/>
    <s v="A3. Se presenta congestión e interrupción de los procesos y procedimientos externos."/>
    <x v="1"/>
    <x v="7"/>
  </r>
  <r>
    <x v="7"/>
    <s v="A1  Tiempos de aplicación de las políticas del Ministerio de Educación."/>
    <x v="1"/>
    <x v="7"/>
  </r>
  <r>
    <x v="7"/>
    <s v="A2 Disminución de la transferencia económica del departamento y de la Nación"/>
    <x v="4"/>
    <x v="8"/>
  </r>
  <r>
    <x v="7"/>
    <s v="A3 La ubicación geográfica de algunas sedes no facilita la consecución de docentes requeridos para los núcleos temáticos"/>
    <x v="5"/>
    <x v="9"/>
  </r>
  <r>
    <x v="7"/>
    <s v="A5. Los planes de desarrollo del departamento no contemplan apoyo a la Universidad de Cundinamarca"/>
    <x v="3"/>
    <x v="4"/>
  </r>
  <r>
    <x v="7"/>
    <s v="A6. Los perfiles de ingreso de los aspirantes no cumplen los requerimientos de educación superior (Pregrado)"/>
    <x v="5"/>
    <x v="9"/>
  </r>
  <r>
    <x v="7"/>
    <s v="A7. Situaciones de orden público y catástrofes naturales"/>
    <x v="5"/>
    <x v="10"/>
  </r>
  <r>
    <x v="7"/>
    <s v="A8. Ataques a la infraestructura tecnológica"/>
    <x v="6"/>
    <x v="11"/>
  </r>
  <r>
    <x v="7"/>
    <s v="A9. Catástrofes naturales"/>
    <x v="0"/>
    <x v="0"/>
  </r>
  <r>
    <x v="7"/>
    <s v="_x000a_A10. Actualización de contenidos normativos o legales en los cursos vigentes"/>
    <x v="1"/>
    <x v="12"/>
  </r>
  <r>
    <x v="7"/>
    <s v="A13. Intermitencias en la conectividad de internet para el desarrollo de las actividades"/>
    <x v="6"/>
    <x v="13"/>
  </r>
  <r>
    <x v="7"/>
    <s v="A14. Actualización constante en la normatividad vigente"/>
    <x v="1"/>
    <x v="1"/>
  </r>
  <r>
    <x v="8"/>
    <s v="A11: Posible incumplimieto de las directrices internas y externas frente a drechos de autor "/>
    <x v="1"/>
    <x v="1"/>
  </r>
  <r>
    <x v="7"/>
    <s v="A15. Cumplimiento de la normatividad nacional, departamental, local e interna por declaración de calamidad pública"/>
    <x v="1"/>
    <x v="1"/>
  </r>
  <r>
    <x v="9"/>
    <s v="A1. La imagen que tiene el país en el exterior. "/>
    <x v="2"/>
    <x v="3"/>
  </r>
  <r>
    <x v="9"/>
    <s v="A2. En la región no se cuenta con un perfil docente calificado para afrontar retos multilingües con base en proyectos de internacionalización en el currículo. "/>
    <x v="5"/>
    <x v="14"/>
  </r>
  <r>
    <x v="9"/>
    <s v="A3. La incertidumbre en temas de relaciones internacionales con base en la nueva administración presidencial "/>
    <x v="3"/>
    <x v="4"/>
  </r>
  <r>
    <x v="9"/>
    <s v="A4. Presencia de virus ,pandemias, desastres naturales, Declaración de estado de emergencia nacionales E internacionales,  lo que afecta los procesos de movilidad."/>
    <x v="0"/>
    <x v="15"/>
  </r>
  <r>
    <x v="9"/>
    <s v="A5, Falta de cultura académica en materia de educación a distancia"/>
    <x v="5"/>
    <x v="16"/>
  </r>
  <r>
    <x v="9"/>
    <s v="A6. No lograr la repatriación oportuna de los  estudiantes, por  falta de directrices claras del Gobierno Nacional."/>
    <x v="3"/>
    <x v="17"/>
  </r>
  <r>
    <x v="9"/>
    <s v="A7. Falta de presencialidad  con ocasión del covid 19, genera una interrupción en las comunicaciones con las partes interesada externa que pueden tener un impacto negativo en la prestación del servicio."/>
    <x v="1"/>
    <x v="7"/>
  </r>
  <r>
    <x v="9"/>
    <s v="A8. Actualización Normativa y perdida de convenios y pactos librados entre países. "/>
    <x v="1"/>
    <x v="1"/>
  </r>
  <r>
    <x v="10"/>
    <s v="A1. Imprudencia y falta de Autocuidado en la Comunidad Universitaria."/>
    <x v="5"/>
    <x v="16"/>
  </r>
  <r>
    <x v="10"/>
    <s v="A2. Falta de Articulación con otros procesos misionales, con el fin de fortalecer la permanencia de los estudiantes (Consejerías, Monitorias de Nivelación, entre otros)"/>
    <x v="1"/>
    <x v="7"/>
  </r>
  <r>
    <x v="10"/>
    <s v="A3. Falta de procesos de capacitación, en aspectos generales enfocados a la Educación Superior Inclusiva."/>
    <x v="5"/>
    <x v="9"/>
  </r>
  <r>
    <x v="10"/>
    <s v="A4. Condiciones económicas e intrafamiliares que afectan a los estudiantes"/>
    <x v="5"/>
    <x v="9"/>
  </r>
  <r>
    <x v="10"/>
    <s v="A5. Falta por parte de la Institución, aplicar algún modelo que permita incluir a contratistas en los procesos de formación"/>
    <x v="3"/>
    <x v="17"/>
  </r>
  <r>
    <x v="10"/>
    <s v="A6. Existe carencia  de cooperación, articulación y apoyo interinstitucional con el Gobierno, Ministerio de Educación, entidades públicas y privadas."/>
    <x v="3"/>
    <x v="18"/>
  </r>
  <r>
    <x v="10"/>
    <s v="A7. La asignación presupuestal transferida por parte del municipio, departamento y/o nación no es suficiente para atender las necesidades de la institución."/>
    <x v="4"/>
    <x v="8"/>
  </r>
  <r>
    <x v="10"/>
    <s v="A8. Se presentan casos de vandalismo y delincuencia que alteran el orden público afectando el desarrollo de las actividades."/>
    <x v="5"/>
    <x v="10"/>
  </r>
  <r>
    <x v="10"/>
    <s v="A9. Se crean grupos en redes sociales emitiendo información no válida  sobre la Institución. "/>
    <x v="5"/>
    <x v="16"/>
  </r>
  <r>
    <x v="10"/>
    <s v="A10.  La ejecución de las actividades del proceso pueden verse afectadas con la ocurrencia de desastres , fenomenos naturales, situaciones de emergencia y/o situaciones de  orden publico"/>
    <x v="0"/>
    <x v="0"/>
  </r>
  <r>
    <x v="10"/>
    <s v="A11. Falta la ejecución de mantenimiento preventivo y/o correctivo de los elementos con los que cuenta el proceso."/>
    <x v="6"/>
    <x v="19"/>
  </r>
  <r>
    <x v="10"/>
    <s v="A12. La falta de cumplimiento contractual o de la normatividad vigente por parte de algunos proveedores que prestan el servicio en los programas socio - económicos"/>
    <x v="1"/>
    <x v="1"/>
  </r>
  <r>
    <x v="10"/>
    <s v="A13. Desconocimiento de las actividades que desarrolla Bienestar"/>
    <x v="5"/>
    <x v="20"/>
  </r>
  <r>
    <x v="10"/>
    <s v="A14. Estigmatización a los servicios de Programas socioeconómicos por parte de los estudiantes."/>
    <x v="5"/>
    <x v="16"/>
  </r>
  <r>
    <x v="10"/>
    <s v="A15. Falta de interés por parte de administrativos y docentes a las actividades que desarrolla bienestar"/>
    <x v="5"/>
    <x v="16"/>
  </r>
  <r>
    <x v="5"/>
    <s v="A3. Brote de enfermedades de control oficial. "/>
    <x v="0"/>
    <x v="15"/>
  </r>
  <r>
    <x v="11"/>
    <s v="A1. Catástrofes naturales."/>
    <x v="0"/>
    <x v="0"/>
  </r>
  <r>
    <x v="11"/>
    <s v="A3. Apagones "/>
    <x v="0"/>
    <x v="0"/>
  </r>
  <r>
    <x v="12"/>
    <s v="A5.  Presencia de virus ,pandemias, desastres naturales, Declaración de estado de emergencia Nacionales E Internacionales,  lo cual afecta los procesos de Investigación."/>
    <x v="0"/>
    <x v="15"/>
  </r>
  <r>
    <x v="13"/>
    <s v="A1. No Giro oportuno de las entidades externas de los aportes ordinarios y aportes con destinación especifica a la Universidad de Cundinamarca."/>
    <x v="4"/>
    <x v="8"/>
  </r>
  <r>
    <x v="13"/>
    <s v="A2. No tramite oportuno para el giro de las transferencias de recursos provenientes del Fondo de extensión y proyectos especiales, Fondo Académico y Centro Académico Deportivo CAD a la Universidad de Cundinamarca."/>
    <x v="4"/>
    <x v="21"/>
  </r>
  <r>
    <x v="5"/>
    <s v="A5. la asignación  presupuestal por parte del gobierno es insuficiente y los tiempos no son acordes para el cumplimiento de las actividades del proceso"/>
    <x v="4"/>
    <x v="8"/>
  </r>
  <r>
    <x v="14"/>
    <s v="A4. Falta de claridad en los lineamientos establecidos en la politica de Educación Superior Inclusiva para la actualización de la documentación de los procesos "/>
    <x v="3"/>
    <x v="12"/>
  </r>
  <r>
    <x v="14"/>
    <s v="A6. Se presentan casos de vandalismo y delincuencia que alteran el orden público afectando el desarrollo de las actividades."/>
    <x v="5"/>
    <x v="10"/>
  </r>
  <r>
    <x v="14"/>
    <s v="A1. Reducción de recursos para el sector público por parte del gobierno"/>
    <x v="4"/>
    <x v="8"/>
  </r>
  <r>
    <x v="4"/>
    <s v="A1. La ejecución de las actividades del proceso pueden verse afectadas con la ocurrencia de desastres, fenómenos naturales y/o situaciones de afectación nacional."/>
    <x v="0"/>
    <x v="0"/>
  </r>
  <r>
    <x v="0"/>
    <s v="A3. Actualización normativa que afecte el desarrollo normal del proceso"/>
    <x v="1"/>
    <x v="1"/>
  </r>
  <r>
    <x v="12"/>
    <s v="A3 - No existe reglamentación ni planes de capacitación Nacionales y/o Internacionales para formación de investigadores. "/>
    <x v="5"/>
    <x v="9"/>
  </r>
  <r>
    <x v="15"/>
    <s v="A1. Falta de colaboración interinstitucional, frente a la inoportunidad en la entrega de información por parte de las dependencias. "/>
    <x v="3"/>
    <x v="18"/>
  </r>
  <r>
    <x v="15"/>
    <s v="A2. interrupción de términos que generan acumulación de actuaciones e incumplimiento normativo"/>
    <x v="1"/>
    <x v="7"/>
  </r>
  <r>
    <x v="15"/>
    <s v="A3. Demora en las decisiones de segunda instancia."/>
    <x v="1"/>
    <x v="7"/>
  </r>
  <r>
    <x v="16"/>
    <s v="A6. Catastrofes naturales"/>
    <x v="0"/>
    <x v="0"/>
  </r>
  <r>
    <x v="16"/>
    <s v="A4. Requisitos de propiedad intelectual"/>
    <x v="6"/>
    <x v="22"/>
  </r>
  <r>
    <x v="16"/>
    <s v="A5. Sanciones por incumplimiento a entes de control"/>
    <x v="1"/>
    <x v="23"/>
  </r>
  <r>
    <x v="5"/>
    <s v="A2. Variación acelerada de las tendencias en los recursos de apoyo de la educación superior (Característica 26 - Lineamiento CNA)."/>
    <x v="1"/>
    <x v="12"/>
  </r>
  <r>
    <x v="14"/>
    <s v="A2. Cambios recurrentes en la legislación y normatividad"/>
    <x v="1"/>
    <x v="1"/>
  </r>
  <r>
    <x v="14"/>
    <s v="A5. Ley de garantías"/>
    <x v="1"/>
    <x v="1"/>
  </r>
  <r>
    <x v="17"/>
    <s v="A6. Disminución del presupuesto por el gobierno que afecta la eficaz y eficiente operación del proceso. "/>
    <x v="4"/>
    <x v="8"/>
  </r>
  <r>
    <x v="17"/>
    <s v="A2. Se desconocen las necesidades de la comunidad académica y partes interesadas."/>
    <x v="5"/>
    <x v="9"/>
  </r>
  <r>
    <x v="17"/>
    <s v="A3. Actos de vandalismo y delincuencia que alteran el orden público, y situaciones de emergencia que afectan el normal desarrollo de las actividades laborales."/>
    <x v="5"/>
    <x v="10"/>
  </r>
  <r>
    <x v="17"/>
    <s v="A4. Se crean grupos sociales que emiten información falsa sobre la universidad."/>
    <x v="5"/>
    <x v="20"/>
  </r>
  <r>
    <x v="17"/>
    <s v="A5. No hay una clara interpretación y direccionamiento de los requisitos legales por parte de los entes gubernamentales."/>
    <x v="1"/>
    <x v="12"/>
  </r>
  <r>
    <x v="17"/>
    <s v="A1. Congestión Judicial que afecta el desarrollo y los tiempos oportunos de respuesta de la Universidad frente al procedimiento AJUP05."/>
    <x v="1"/>
    <x v="7"/>
  </r>
  <r>
    <x v="6"/>
    <s v="A4. El modelo y los tiempos de contratación de la Universidad son ineficientes, extensos y dispendiosos afectando la continuidad  de los procesos."/>
    <x v="1"/>
    <x v="7"/>
  </r>
  <r>
    <x v="6"/>
    <s v="A5. La estructura orgánica es inapropiada para la ejecución de los planes, lo que hace que los trámites sean mas demorados."/>
    <x v="3"/>
    <x v="4"/>
  </r>
  <r>
    <x v="6"/>
    <s v="A2. No hay una clara interpretación de los requisitos legales aplicables al Proceso."/>
    <x v="1"/>
    <x v="12"/>
  </r>
  <r>
    <x v="4"/>
    <s v="A2. Cambios en la Normatividad regulatoria del sector"/>
    <x v="1"/>
    <x v="1"/>
  </r>
  <r>
    <x v="12"/>
    <s v="A1 - Competencia de otras instituciones de investigación"/>
    <x v="2"/>
    <x v="2"/>
  </r>
  <r>
    <x v="12"/>
    <s v="A4 - Las condiciones de contratación que ofrecen otras IES (Instituciones de Educación Superior) para investigadores en la región. "/>
    <x v="2"/>
    <x v="2"/>
  </r>
  <r>
    <x v="4"/>
    <s v="A4. Alta competencia de Universidades Públicas e Instituciones en el entorno"/>
    <x v="2"/>
    <x v="2"/>
  </r>
  <r>
    <x v="16"/>
    <s v="A1. Posibilidad de que por acción u omisión, se use el poder para desviar la gestión de lo público hacia un beneficio privado."/>
    <x v="3"/>
    <x v="4"/>
  </r>
  <r>
    <x v="16"/>
    <s v="A2. No continuidad de las practicas por lineamientos políticos"/>
    <x v="3"/>
    <x v="4"/>
  </r>
  <r>
    <x v="13"/>
    <s v="A3. Incumplimiento por parte de los estudiantes en el pago de matrículas fraccionadas."/>
    <x v="4"/>
    <x v="21"/>
  </r>
  <r>
    <x v="13"/>
    <s v="A4. Los paros estudiantiles afectan el desarrollo de las actividades propias del proceso"/>
    <x v="5"/>
    <x v="10"/>
  </r>
  <r>
    <x v="13"/>
    <s v="A5. Duplicidad en la solicitud de tramite para devolución de matricula."/>
    <x v="5"/>
    <x v="16"/>
  </r>
  <r>
    <x v="13"/>
    <s v="A6. Presencia de virus ,pandemias, desastres naturales, Declaración de estado de emergencia nacionales E internacionales, pueden afectar la prestación del servicio."/>
    <x v="0"/>
    <x v="15"/>
  </r>
  <r>
    <x v="13"/>
    <s v="A7. Conflictos por   interpretación y aplicación  de normas transitorias emitidas por contingencias  con efecto de aplicación inmediata.."/>
    <x v="1"/>
    <x v="7"/>
  </r>
  <r>
    <x v="13"/>
    <s v="A8.Algunas partes interesadas no cuentan con mecanismos digitales para que la Universidad la realice los pagos."/>
    <x v="5"/>
    <x v="9"/>
  </r>
  <r>
    <x v="14"/>
    <s v="A4. Falta de claridad en los lineamientos establecidos en la politica de Educación Superior Inclusiva para la actualización de la documentación de los procesos "/>
    <x v="1"/>
    <x v="12"/>
  </r>
  <r>
    <x v="4"/>
    <s v="A3. Se presentan casos de vandalismo y delincuencia que alteran el orden público afectando el desarrollo de las actividades."/>
    <x v="5"/>
    <x v="10"/>
  </r>
  <r>
    <x v="4"/>
    <s v="A1. La ejecución de las actividades del proceso pueden verse afectadas con la ocurrencia de desastres y fenomenos naturales."/>
    <x v="0"/>
    <x v="0"/>
  </r>
  <r>
    <x v="4"/>
    <s v="A4. Alta competencia de Universidades Públicas e Instituciones en el entorno."/>
    <x v="2"/>
    <x v="2"/>
  </r>
  <r>
    <x v="4"/>
    <s v="A6. Recursos Financieros insuficientes para satisfacer las necesidades de la Institución"/>
    <x v="4"/>
    <x v="8"/>
  </r>
  <r>
    <x v="4"/>
    <s v="A7. Desconocimiento de las actividades y metas propias del proceso por parte de los Gestores Responsables"/>
    <x v="1"/>
    <x v="12"/>
  </r>
  <r>
    <x v="4"/>
    <s v="A3. Actualización normativa que afecte el desarrollo normal del proceso"/>
    <x v="1"/>
    <x v="1"/>
  </r>
  <r>
    <x v="0"/>
    <s v="A4. La asignación del rubro presupuestal es insuficiente y los tiempos no son acordes para el cumplimiento de las actividades del proceso"/>
    <x v="4"/>
    <x v="8"/>
  </r>
  <r>
    <x v="0"/>
    <s v="A5. Afectación en la presentación del servicio vía digital por fallas o daños en la red y/o sistema a nivel municipal o regional"/>
    <x v="6"/>
    <x v="13"/>
  </r>
  <r>
    <x v="0"/>
    <s v="A1. Asonadas por parte de los estudiantes"/>
    <x v="5"/>
    <x v="9"/>
  </r>
  <r>
    <x v="5"/>
    <s v="A4. Asonadas, paros estudiantiles."/>
    <x v="5"/>
    <x v="9"/>
  </r>
  <r>
    <x v="18"/>
    <s v="A1. Se presentan casos de vandalismo y delincuencia que alteran el orden público afectando el desarrollo de las actividades."/>
    <x v="5"/>
    <x v="10"/>
  </r>
  <r>
    <x v="18"/>
    <s v="A2.  La ejecución de las actividades del proceso pueden verse afectadas con la ocurrencia de desastres, fenómenos naturales y/o situaciones de afectación nacional."/>
    <x v="0"/>
    <x v="0"/>
  </r>
  <r>
    <x v="18"/>
    <s v="A3. Constantes cambios en la normatividad en materia de SST y ambiental."/>
    <x v="1"/>
    <x v="1"/>
  </r>
  <r>
    <x v="18"/>
    <s v="A4. Procesos precontractuales poco transparentes."/>
    <x v="3"/>
    <x v="24"/>
  </r>
  <r>
    <x v="18"/>
    <s v="A8. No informar oportunamente cuando se presentan casos de perdida y/o daños de elementos devolutivos."/>
    <x v="5"/>
    <x v="16"/>
  </r>
  <r>
    <x v="18"/>
    <s v="A9. Incursión de Universidades extranjeras con programas de pregrado y postgrado con modalidad virtual. "/>
    <x v="2"/>
    <x v="2"/>
  </r>
  <r>
    <x v="18"/>
    <s v="A10. Reducción del nivel de ingresos del grupo familiar lo que reduce posibilidades de acceso a educación superior."/>
    <x v="5"/>
    <x v="9"/>
  </r>
  <r>
    <x v="18"/>
    <s v="A11. Se incumplen las actividades de los procedimientos y se generan criterios propios para operarlos."/>
    <x v="3"/>
    <x v="17"/>
  </r>
  <r>
    <x v="18"/>
    <s v="A12. Cambios generacionales que dan prioridad a temas diferentes del aspecto conocido como &quot;educación formal&quot;"/>
    <x v="5"/>
    <x v="9"/>
  </r>
  <r>
    <x v="18"/>
    <s v="A13. Inestabilidad laboral producto de la desaceleración en la economía."/>
    <x v="5"/>
    <x v="9"/>
  </r>
  <r>
    <x v="18"/>
    <s v="A6. Falta de articulación entre los procesos."/>
    <x v="1"/>
    <x v="7"/>
  </r>
  <r>
    <x v="18"/>
    <s v="A5. Carencia de una cultura de Planeación en las actividades."/>
    <x v="5"/>
    <x v="16"/>
  </r>
  <r>
    <x v="18"/>
    <s v="A14. Políticas nacionales educativas. "/>
    <x v="3"/>
    <x v="17"/>
  </r>
  <r>
    <x v="18"/>
    <s v="A15. Reducción del Presupuesto nacional destinado a las Universidades Públicas."/>
    <x v="4"/>
    <x v="8"/>
  </r>
  <r>
    <x v="12"/>
    <s v="A2 - Escasa implicación de algunos sectores de la sociedad en los proyectos de investigación regional."/>
    <x v="5"/>
    <x v="9"/>
  </r>
  <r>
    <x v="19"/>
    <s v="A3: Inseguridad en el transporte de los equipos de producción audiovisual el cual pone en riesgo de igual manera la integridad del talento humano responsable de salvaguardar los equipos."/>
    <x v="5"/>
    <x v="10"/>
  </r>
  <r>
    <x v="6"/>
    <s v="A1. Posible incumplimiento de compromisos con el cliente externo."/>
    <x v="2"/>
    <x v="25"/>
  </r>
  <r>
    <x v="19"/>
    <s v="A1: Hackers informáticos"/>
    <x v="6"/>
    <x v="11"/>
  </r>
  <r>
    <x v="19"/>
    <s v="A4. Paros, asonadas y bloqueos puesto que restringen la movilidad y afectan la oportunidad en tiempo para cumplimiento de cubrimientos."/>
    <x v="5"/>
    <x v="9"/>
  </r>
  <r>
    <x v="19"/>
    <s v="A5. Catástrofes naturales"/>
    <x v="0"/>
    <x v="0"/>
  </r>
  <r>
    <x v="19"/>
    <s v="A2: Creación de cuentas en redes sociales por parte de diferentes funcionarios, docentes, estudiantes y egresados de la Universidad, emitiendo información no validada institucionalmente y no oficial."/>
    <x v="5"/>
    <x v="16"/>
  </r>
  <r>
    <x v="19"/>
    <s v="A7. Nuevas estrategias y modelos para la generación de contenido lo cual hace necesario implementar programas constantes de capacitación"/>
    <x v="2"/>
    <x v="3"/>
  </r>
  <r>
    <x v="19"/>
    <s v="A9. Cumplimiento de la normatividad nacional, departamental y local por declaración de calamidad pública"/>
    <x v="1"/>
    <x v="1"/>
  </r>
  <r>
    <x v="16"/>
    <s v="A7. Falta de entrega oportuna de información por parte de los procesos internos que es insumo para realizar reportes a entes externos de control."/>
    <x v="3"/>
    <x v="24"/>
  </r>
  <r>
    <x v="16"/>
    <s v="A8. Se presentan cambios inesperados acorde a actualizaciones normativas"/>
    <x v="1"/>
    <x v="1"/>
  </r>
  <r>
    <x v="16"/>
    <s v="A9. Paros estudiantiles que afectan la prestación del servicio."/>
    <x v="5"/>
    <x v="10"/>
  </r>
  <r>
    <x v="16"/>
    <s v="A3. Hackers informáticos"/>
    <x v="6"/>
    <x v="11"/>
  </r>
  <r>
    <x v="16"/>
    <s v="A10. Afectación en la prestación normal del servicio por virus y pandemias. "/>
    <x v="0"/>
    <x v="15"/>
  </r>
  <r>
    <x v="5"/>
    <s v="A8. No hay una clara interpretación y direccionamiento de los requisitos legales. "/>
    <x v="1"/>
    <x v="12"/>
  </r>
  <r>
    <x v="5"/>
    <s v="A7. Se crean grupos sociales que emiten información falsa sobre la universidad."/>
    <x v="5"/>
    <x v="16"/>
  </r>
  <r>
    <x v="5"/>
    <s v="A5. La asignación  presupuestal por parte del gobierno es insuficiente y los tiempos no son acordes para el cumplimiento de las actividades del proceso"/>
    <x v="4"/>
    <x v="8"/>
  </r>
  <r>
    <x v="5"/>
    <s v="A9. Requisitos de obligatorio cumplimiento (decreto 1330 y los lineamientos de acreditación)  que aafectan la disponibilidad y suficiencia de los medios educativos"/>
    <x v="1"/>
    <x v="12"/>
  </r>
  <r>
    <x v="5"/>
    <s v="A10. Insuficiencia en el mercado de audiolibros y libros de cecografía para dotación de las bibliotecas. "/>
    <x v="5"/>
    <x v="9"/>
  </r>
  <r>
    <x v="14"/>
    <s v="A7. La ejecución de las actividades del proceso pueden verse afectadas con la ocurrencia de desastres y fenomenos naturales."/>
    <x v="0"/>
    <x v="0"/>
  </r>
  <r>
    <x v="14"/>
    <s v="A8. Se presenta congestión e interrupción de los procesos y procedimientos externos."/>
    <x v="1"/>
    <x v="7"/>
  </r>
  <r>
    <x v="14"/>
    <s v="A10. Bajo interés de relacionamiento o articulación de las partes interesadas con el SGC."/>
    <x v="5"/>
    <x v="16"/>
  </r>
  <r>
    <x v="14"/>
    <s v="A3:Exigibilidad de documentos por parte de los entes de control"/>
    <x v="3"/>
    <x v="24"/>
  </r>
  <r>
    <x v="14"/>
    <s v="A9. Falta de estructuración de procesos nuevos."/>
    <x v="1"/>
    <x v="7"/>
  </r>
  <r>
    <x v="11"/>
    <s v="A5. Situaciones de orden público"/>
    <x v="5"/>
    <x v="10"/>
  </r>
  <r>
    <x v="11"/>
    <s v="A2. Hackers Informáticos externos. "/>
    <x v="6"/>
    <x v="11"/>
  </r>
  <r>
    <x v="11"/>
    <s v="A4. Manipulación de la información por agentes externos, empresas que apoyan en la creación gestasoft "/>
    <x v="6"/>
    <x v="11"/>
  </r>
  <r>
    <x v="11"/>
    <s v="A6. Cumplimiento de la normatividad nacional, departamental y local por declaración de calamidad pública"/>
    <x v="1"/>
    <x v="1"/>
  </r>
  <r>
    <x v="3"/>
    <s v="A5. Mal uso de los servicios o recursos tecnológicos por parte de los usuarios finales."/>
    <x v="5"/>
    <x v="16"/>
  </r>
  <r>
    <x v="3"/>
    <s v="A6. Se presentan casos de vandalismo y delincuencia que alteran el orden público afectando el desarrollo de las actividades."/>
    <x v="5"/>
    <x v="10"/>
  </r>
  <r>
    <x v="3"/>
    <s v="A7.  La ejecución de las actividades del proceso pueden verse afectadas con la ocurrencia de desastres y fenómenos naturales."/>
    <x v="0"/>
    <x v="0"/>
  </r>
  <r>
    <x v="3"/>
    <s v="A8. Ataques informáticos a la Infraestructura Tecnológica"/>
    <x v="6"/>
    <x v="11"/>
  </r>
  <r>
    <x v="3"/>
    <s v="A9. Acceso Físicos a Centros de Datos sin los controles Adecuados Requeridos."/>
    <x v="6"/>
    <x v="13"/>
  </r>
  <r>
    <x v="3"/>
    <s v="A4. Acceso fraudulento a sistemas informáticos de la Institución"/>
    <x v="6"/>
    <x v="11"/>
  </r>
  <r>
    <x v="20"/>
    <s v="A1. Hackers y virus informáticos "/>
    <x v="6"/>
    <x v="11"/>
  </r>
  <r>
    <x v="20"/>
    <s v="A2. Actualizaciones en plataforma del ICFES"/>
    <x v="6"/>
    <x v="13"/>
  </r>
  <r>
    <x v="20"/>
    <s v="A3. Falta de interés por parte del aspirante en consultar el Instructivo en el portal web."/>
    <x v="5"/>
    <x v="16"/>
  </r>
  <r>
    <x v="20"/>
    <s v="A4. Fenómenos naturales como inundaciones e incendios"/>
    <x v="0"/>
    <x v="0"/>
  </r>
  <r>
    <x v="20"/>
    <s v="A5. Paros Estudiantiles"/>
    <x v="5"/>
    <x v="9"/>
  </r>
  <r>
    <x v="20"/>
    <s v="A6. Inconsistencias en los procesos de selección y contratación laboral."/>
    <x v="3"/>
    <x v="24"/>
  </r>
  <r>
    <x v="20"/>
    <s v="A7. Se carece de apoyo interinstitucional por parte del Gobierno y el Ministerio de Educación Nacional."/>
    <x v="3"/>
    <x v="18"/>
  </r>
  <r>
    <x v="20"/>
    <s v="A8. Los tiempos para el trámite y giros de recursos económicos por parte de entes gubernamentales son demorados y son insuficinetes."/>
    <x v="4"/>
    <x v="8"/>
  </r>
  <r>
    <x v="20"/>
    <s v="A9. Grupos sociales que emiten información falsa sobre la universidad."/>
    <x v="5"/>
    <x v="20"/>
  </r>
  <r>
    <x v="20"/>
    <s v="A10. Congestión e interrupción de los procesos y procedimientos externos."/>
    <x v="1"/>
    <x v="7"/>
  </r>
  <r>
    <x v="20"/>
    <s v="A11. Daños a la infraestructura y al personal de la oficina por manifestaciones de la comunidad universitaria y la comunidad en general"/>
    <x v="5"/>
    <x v="10"/>
  </r>
  <r>
    <x v="21"/>
    <s v="A1. Manejo inadecuado de la información por personal diferente a los funcionarios de Talento Humano."/>
    <x v="5"/>
    <x v="16"/>
  </r>
  <r>
    <x v="21"/>
    <s v="A2. Constantes cambios en la legislación relacionada a la gestión del talento humano"/>
    <x v="1"/>
    <x v="1"/>
  </r>
  <r>
    <x v="21"/>
    <s v="A3. Fenómenos naturales o causados por el hombre como inundaciones, incendios, manifestaciones, entre otros"/>
    <x v="0"/>
    <x v="0"/>
  </r>
  <r>
    <x v="21"/>
    <s v="A4. Falsedad en documentos entregados por parte de los funcionarios, como requisitos de contratación."/>
    <x v="5"/>
    <x v="16"/>
  </r>
  <r>
    <x v="21"/>
    <s v="A5. Falta de información oportuna de las EPS, en relación con los pagos de incapacidades."/>
    <x v="3"/>
    <x v="7"/>
  </r>
  <r>
    <x v="21"/>
    <s v="A5. Rotación  constante de personal  en los diferentes procesos"/>
    <x v="3"/>
    <x v="24"/>
  </r>
  <r>
    <x v="21"/>
    <s v="A6. Sanciones o demandas por incumplimiento legal "/>
    <x v="1"/>
    <x v="23"/>
  </r>
  <r>
    <x v="21"/>
    <s v="A7. Afectación a la salud de la comunidad universitaria debido a peligro biológico "/>
    <x v="0"/>
    <x v="15"/>
  </r>
  <r>
    <x v="21"/>
    <s v="A8. Afectación a la salud y la prestación del servicio por virus o pandemias."/>
    <x v="0"/>
    <x v="15"/>
  </r>
</pivotCacheRecords>
</file>

<file path=xl/pivotCache/pivotCacheRecords4.xml><?xml version="1.0" encoding="utf-8"?>
<pivotCacheRecords xmlns="http://schemas.openxmlformats.org/spreadsheetml/2006/main" xmlns:r="http://schemas.openxmlformats.org/officeDocument/2006/relationships" count="1033">
  <r>
    <x v="0"/>
    <x v="0"/>
    <s v="D1. Dependencia de otras áreas para la ejecución de las actividades del proceso, que generan retrasos"/>
    <x v="0"/>
    <x v="0"/>
  </r>
  <r>
    <x v="0"/>
    <x v="0"/>
    <s v="D2. Los consejos de Facultad y las direcciones de programa no envían oportunamente a la oficina de Admisiones y Registro, las actas de consejo, actas de sustentación y vistos buenos, para iniciar el proceso de Revisión de carpeta y Novedades Académicas."/>
    <x v="0"/>
    <x v="1"/>
  </r>
  <r>
    <x v="0"/>
    <x v="0"/>
    <s v="D3. Demora de la oficina de tesorería en cargar archivos planos de los pagos realizados por parte de los estudiantes y aspirantes. "/>
    <x v="0"/>
    <x v="1"/>
  </r>
  <r>
    <x v="0"/>
    <x v="0"/>
    <s v="D4. Falta de digitación oportuna de Notas por parte de los docentes de los diferentes programas Académicos."/>
    <x v="0"/>
    <x v="1"/>
  </r>
  <r>
    <x v="0"/>
    <x v="0"/>
    <s v="D5. Falta asegurar la gestión del conocimiento en el proceso"/>
    <x v="1"/>
    <x v="2"/>
  </r>
  <r>
    <x v="0"/>
    <x v="0"/>
    <s v="D6. La estructura orgánica es inapropiada para la ejecución de los planes, lo que hace que los trámites sean mas demorados"/>
    <x v="2"/>
    <x v="3"/>
  </r>
  <r>
    <x v="0"/>
    <x v="0"/>
    <s v="D7. Falta fortalecer el pilar estratégico de la trasnhumanidad en el proceso (ambiente laboral)"/>
    <x v="2"/>
    <x v="4"/>
  </r>
  <r>
    <x v="0"/>
    <x v="0"/>
    <s v="D8. Falta realizar seguimiento al incumplimiento de metas frente a los indicadores del proceso"/>
    <x v="3"/>
    <x v="5"/>
  </r>
  <r>
    <x v="0"/>
    <x v="0"/>
    <s v="D9. Falta de presentación oportuna de los compromisos del Sistema de Gestión de la Calidad."/>
    <x v="1"/>
    <x v="6"/>
  </r>
  <r>
    <x v="0"/>
    <x v="1"/>
    <s v="D1. El alcance del proceso es demasiado  grande teniendo en cuenta la cantidad de espacios académicos presentes en las unidades regionales y manejando la oficina centralizada en la sede, lo que no permite tener un impacto eficiente. (no hacen uso de los sistemas de  información con los que cuenta el proceso)."/>
    <x v="2"/>
    <x v="7"/>
  </r>
  <r>
    <x v="0"/>
    <x v="1"/>
    <s v="D2. No se cuenta con un profesional que lidere los laboratorios de sede, seccionales y extensiones. Como lo tiene bibliotecas y granjas."/>
    <x v="1"/>
    <x v="8"/>
  </r>
  <r>
    <x v="0"/>
    <x v="1"/>
    <s v="D3. Infraestructura limitada para los laboratorios."/>
    <x v="4"/>
    <x v="9"/>
  </r>
  <r>
    <x v="0"/>
    <x v="1"/>
    <s v="D4. Falta de articulación de los diferentes actores en la formulación y ejecución de los proyectos aprobados por el COUNFIS y planeación institucional encaminados al mejoramiento de los espacios académicos adscritos a la unidad de apoyo académico."/>
    <x v="0"/>
    <x v="0"/>
  </r>
  <r>
    <x v="0"/>
    <x v="1"/>
    <s v="D5.Elementos académicos que no cuenten con las condiciones mínimas para su préstamo"/>
    <x v="4"/>
    <x v="10"/>
  </r>
  <r>
    <x v="0"/>
    <x v="1"/>
    <s v="D6. Cargue inoportuno de documentos en el repositorio institucional de la biblioteca en seccionales y extensiones. "/>
    <x v="0"/>
    <x v="1"/>
  </r>
  <r>
    <x v="0"/>
    <x v="1"/>
    <s v="D7.Falta de asignación de recursos económicos para garantizar el mantenimiento preventivo, correctivo y calibración."/>
    <x v="5"/>
    <x v="11"/>
  </r>
  <r>
    <x v="0"/>
    <x v="1"/>
    <s v="D8. El reporte no oportuno de los demás procesos (Investigación, Docencia) en cuanto a sus necesidades de recursos académicos tales como: Calibración de Equipos, Licenciamiento de Software y Recursos Bibliográficos."/>
    <x v="0"/>
    <x v="12"/>
  </r>
  <r>
    <x v="0"/>
    <x v="1"/>
    <s v="D9. Falta condiciones para el almacenamiento de químicos en laboratorios."/>
    <x v="4"/>
    <x v="9"/>
  </r>
  <r>
    <x v="0"/>
    <x v="1"/>
    <s v="D10. No aprovechamiento de los recursos de apoyo por parte de la academia"/>
    <x v="1"/>
    <x v="6"/>
  </r>
  <r>
    <x v="0"/>
    <x v="1"/>
    <s v="D11. El reporte no oportuno de los demás procesos(Investigación - Formación y Aprendizaje): Calibración y mantenimiento de Equipos."/>
    <x v="0"/>
    <x v="12"/>
  </r>
  <r>
    <x v="0"/>
    <x v="1"/>
    <s v="D12. Falta asegurar la aplicación de los criterios en cuanto a la priorización de los mantenimientos"/>
    <x v="1"/>
    <x v="6"/>
  </r>
  <r>
    <x v="0"/>
    <x v="2"/>
    <s v="D1: Cultura reactiva ante situaciones complejas"/>
    <x v="0"/>
    <x v="13"/>
  </r>
  <r>
    <x v="0"/>
    <x v="2"/>
    <s v="D2: Entrega inoportuna de la información requerida por parte de los gestores responsables"/>
    <x v="0"/>
    <x v="1"/>
  </r>
  <r>
    <x v="0"/>
    <x v="2"/>
    <s v="D3: Alta rotación del personal docente de los equipos de autoevaluación y acreditación y Directores de programa"/>
    <x v="1"/>
    <x v="14"/>
  </r>
  <r>
    <x v="0"/>
    <x v="2"/>
    <s v="D4: Desinformación de la comunidad académica sobre los procesos de registro calificado, acreditación de programas."/>
    <x v="0"/>
    <x v="12"/>
  </r>
  <r>
    <x v="0"/>
    <x v="2"/>
    <s v="D5. Tiempos limitados en la dedicación académica de los profesores para atender los procesos de autoevaluación, acreditación y registro calificado"/>
    <x v="0"/>
    <x v="1"/>
  </r>
  <r>
    <x v="0"/>
    <x v="2"/>
    <s v="D6. Falta estudio del contexto para la oferta de programas nuevos"/>
    <x v="2"/>
    <x v="15"/>
  </r>
  <r>
    <x v="0"/>
    <x v="3"/>
    <s v="D1. Falta de actualización permanente en temas relacionados a la naturaleza del proceso de contratación."/>
    <x v="1"/>
    <x v="16"/>
  </r>
  <r>
    <x v="0"/>
    <x v="3"/>
    <s v="D2. No es suficiente la asignación del rubro presupuestal para la ejecución de las actividades del presupuesto."/>
    <x v="5"/>
    <x v="11"/>
  </r>
  <r>
    <x v="0"/>
    <x v="3"/>
    <s v="D3. Falta de un política de modernización permanente del parque automotor."/>
    <x v="2"/>
    <x v="4"/>
  </r>
  <r>
    <x v="0"/>
    <x v="3"/>
    <s v="D4. Desconocimiento de los bienes con los que cuenta la Universidad y frente a los inmuebles no se ejerce control de los mismo por el distanciamiento que hay de la sede principal de la Universidad."/>
    <x v="3"/>
    <x v="5"/>
  </r>
  <r>
    <x v="0"/>
    <x v="3"/>
    <s v="D5. Personal Insuficiente y no remunerado de acuerdo a su perfil para las actividades del Proceso."/>
    <x v="1"/>
    <x v="8"/>
  </r>
  <r>
    <x v="0"/>
    <x v="3"/>
    <s v="D6. El Modelo y los tiempos de contratación directa de la Universidad son demasiado extensos, afectando la Institucionalidad."/>
    <x v="0"/>
    <x v="1"/>
  </r>
  <r>
    <x v="0"/>
    <x v="3"/>
    <s v="D7. Falta de mecanismos que permitan la localización permanente del parque automotor a disposición de la Comunidad Universitaria."/>
    <x v="4"/>
    <x v="9"/>
  </r>
  <r>
    <x v="0"/>
    <x v="3"/>
    <s v="D8. La información remitida por los procesos en ocasiones no cumple de manera completa, causando reprocesos en las  actividades. "/>
    <x v="0"/>
    <x v="17"/>
  </r>
  <r>
    <x v="0"/>
    <x v="3"/>
    <s v="D9. Falta de seguimiento a la ejecución contractual por parte del supervisor."/>
    <x v="3"/>
    <x v="5"/>
  </r>
  <r>
    <x v="0"/>
    <x v="3"/>
    <s v="D10. Falta de conciliaciones entre Almacen y contabilidad"/>
    <x v="0"/>
    <x v="0"/>
  </r>
  <r>
    <x v="0"/>
    <x v="3"/>
    <s v="D11. Falta de espacio fisicos para el adecuado almacenaje del archivo documental y los elementos o productos con los que cuenta el proceso "/>
    <x v="4"/>
    <x v="9"/>
  </r>
  <r>
    <x v="0"/>
    <x v="3"/>
    <s v="D12. Mala clasificación de los bienes"/>
    <x v="1"/>
    <x v="16"/>
  </r>
  <r>
    <x v="0"/>
    <x v="3"/>
    <s v="D13. Registro no oportuno de los ingresos por las diferentes modalidades"/>
    <x v="0"/>
    <x v="1"/>
  </r>
  <r>
    <x v="0"/>
    <x v="3"/>
    <s v="D14. Fallas del contratista y/o supervisor durante la ejecución de la orden contractual o contrato."/>
    <x v="0"/>
    <x v="18"/>
  </r>
  <r>
    <x v="0"/>
    <x v="3"/>
    <s v="D15. Falta de un control eficiente que permita salvaguardar el parque automotor y la Planta Física"/>
    <x v="3"/>
    <x v="5"/>
  </r>
  <r>
    <x v="0"/>
    <x v="3"/>
    <s v="D16. Traslado de elementos devolutivos sin la debida comunicación con Almacén (ABSr037)"/>
    <x v="0"/>
    <x v="12"/>
  </r>
  <r>
    <x v="0"/>
    <x v="3"/>
    <s v="D17. Fallas en la inspección de la Planta Física que genera el Cronograma de Mantenimiento de la misma"/>
    <x v="3"/>
    <x v="5"/>
  </r>
  <r>
    <x v="0"/>
    <x v="3"/>
    <s v="D18. Falta de competencia e idoneidad por parte de algunos supervisores"/>
    <x v="1"/>
    <x v="16"/>
  </r>
  <r>
    <x v="0"/>
    <x v="4"/>
    <s v="D1. Destinación de Recursos propios para actividades de contratación de personal afectan el desarrollo de actividades propias del proceso."/>
    <x v="5"/>
    <x v="11"/>
  </r>
  <r>
    <x v="0"/>
    <x v="4"/>
    <s v="D2. La carga operativa del proceso es amplia y no se cuenta con el personal suficiente. (áreas interdisciplinares y psicosociales) "/>
    <x v="1"/>
    <x v="8"/>
  </r>
  <r>
    <x v="0"/>
    <x v="4"/>
    <s v="D3. Falta de software que se ajuste a las necesidades del proceso (Permanencia y Campos de Aprendizaje)."/>
    <x v="4"/>
    <x v="19"/>
  </r>
  <r>
    <x v="0"/>
    <x v="4"/>
    <s v="D4. Falta de  infraestructura física y acceso adecuado a la comunidad universitaria para la prestación del Servicio en algunas Seccionales y Extensiones"/>
    <x v="4"/>
    <x v="20"/>
  </r>
  <r>
    <x v="0"/>
    <x v="4"/>
    <s v="D5. No es suficiente la asignación del rubro presupuestal para la ejecución de las actividades."/>
    <x v="5"/>
    <x v="11"/>
  </r>
  <r>
    <x v="0"/>
    <x v="4"/>
    <s v="D6. Falta mejorar las Herramientas y aplicaciones de seguimiento y materialización del proceso"/>
    <x v="4"/>
    <x v="10"/>
  </r>
  <r>
    <x v="0"/>
    <x v="4"/>
    <s v="D7. Horarios de atención en servicios de salud No acordes con las jornadas de la Universidad"/>
    <x v="2"/>
    <x v="15"/>
  </r>
  <r>
    <x v="0"/>
    <x v="4"/>
    <s v="D8. Profesionales que no cuentan con la capacitación para la atención en primeros auxilios"/>
    <x v="1"/>
    <x v="16"/>
  </r>
  <r>
    <x v="0"/>
    <x v="4"/>
    <s v="D9. Los equipos de medición del proceso de bienestar universitario no cuentan con mantenimiento y calibración"/>
    <x v="4"/>
    <x v="21"/>
  </r>
  <r>
    <x v="0"/>
    <x v="5"/>
    <s v="D1. Falta de espacios académicos para la investigación"/>
    <x v="4"/>
    <x v="9"/>
  </r>
  <r>
    <x v="0"/>
    <x v="5"/>
    <s v="D2. Pocos productos como resultados de Proyectos de investigación"/>
    <x v="3"/>
    <x v="22"/>
  </r>
  <r>
    <x v="0"/>
    <x v="5"/>
    <s v="D3. No se tiene establecido los parámetros para retirar el aval institucional a: líneas, grupos."/>
    <x v="0"/>
    <x v="23"/>
  </r>
  <r>
    <x v="0"/>
    <x v="5"/>
    <s v="D4. No cumplir con los tiempos  establecidos para la revisión de solicitudes ante el CDI"/>
    <x v="0"/>
    <x v="1"/>
  </r>
  <r>
    <x v="0"/>
    <x v="5"/>
    <s v="D5. Manejo de la información en físico"/>
    <x v="6"/>
    <x v="24"/>
  </r>
  <r>
    <x v="0"/>
    <x v="5"/>
    <s v="D6. Contratos por tiempos cortos de Investigadores y personal administrativo."/>
    <x v="1"/>
    <x v="14"/>
  </r>
  <r>
    <x v="0"/>
    <x v="5"/>
    <s v="D7. Demora en los procesos administrativos y financieros para el desembolso de los recursos"/>
    <x v="0"/>
    <x v="1"/>
  </r>
  <r>
    <x v="0"/>
    <x v="5"/>
    <s v="D8. Cambios inesperados en los procedimientos administrativos. "/>
    <x v="0"/>
    <x v="13"/>
  </r>
  <r>
    <x v="0"/>
    <x v="5"/>
    <s v="D9. No acogerse a los procedimientos establecidos"/>
    <x v="0"/>
    <x v="25"/>
  </r>
  <r>
    <x v="0"/>
    <x v="5"/>
    <s v="D10. No se reporta la evaluación de Desempeño de las Líneas, Grupos y Semilleros de Investigación por los responsables"/>
    <x v="3"/>
    <x v="5"/>
  </r>
  <r>
    <x v="0"/>
    <x v="5"/>
    <s v="D11.  No reportan las actualizaciones de integrantes, de grupos, semilleros y proyectos de investigación"/>
    <x v="0"/>
    <x v="12"/>
  </r>
  <r>
    <x v="0"/>
    <x v="5"/>
    <s v="D12. No cumplimiento de lo pactado en el acta de compromiso de los proyectos de investigación y transferencias de resultados"/>
    <x v="0"/>
    <x v="18"/>
  </r>
  <r>
    <x v="0"/>
    <x v="5"/>
    <s v="D13. Falta de ejecución de convenios. "/>
    <x v="2"/>
    <x v="15"/>
  </r>
  <r>
    <x v="0"/>
    <x v="5"/>
    <s v="D14.El proceso carece de  los   Insumos necesarios  para la ejecución de los proyectos."/>
    <x v="4"/>
    <x v="10"/>
  </r>
  <r>
    <x v="0"/>
    <x v="5"/>
    <s v="D15. Se identifica la necesidad de implementar un Software adecuado el proceso de investigación.  "/>
    <x v="4"/>
    <x v="19"/>
  </r>
  <r>
    <x v="0"/>
    <x v="5"/>
    <s v="D16. No cumplir con las metas de los objetivos establecidos en el proceso. "/>
    <x v="0"/>
    <x v="18"/>
  </r>
  <r>
    <x v="0"/>
    <x v="5"/>
    <s v="D17. Realizar investigaciones con equipos sin mantenimiento y/o calibración"/>
    <x v="4"/>
    <x v="21"/>
  </r>
  <r>
    <x v="0"/>
    <x v="5"/>
    <s v="D18. Desconocimiento del equipo de trabajo de las Políticas Institucionales aprobadas en otros procesos."/>
    <x v="1"/>
    <x v="2"/>
  </r>
  <r>
    <x v="0"/>
    <x v="5"/>
    <s v="D19. Estrategias que faciliten la conectividad para el personal que se encuentre en modalidad de trabajo en casa. "/>
    <x v="4"/>
    <x v="26"/>
  </r>
  <r>
    <x v="0"/>
    <x v="5"/>
    <s v="D20. Falta de actualizaciones de los aplicativos tecnológicos con los que cuenta el proceso. "/>
    <x v="4"/>
    <x v="19"/>
  </r>
  <r>
    <x v="0"/>
    <x v="5"/>
    <s v="D21. No contar con lineamietos de alto nivel para el manejo de los documentos suscritos y que son objeto de verificación por entes de control. "/>
    <x v="0"/>
    <x v="25"/>
  </r>
  <r>
    <x v="0"/>
    <x v="5"/>
    <s v="D22. Falta de apropiación del conocimiento por parte de la comunidad académica y/o administrativa en relación a metrologia. "/>
    <x v="1"/>
    <x v="6"/>
  </r>
  <r>
    <x v="0"/>
    <x v="6"/>
    <s v="D1. Inestabilidad laboral relacionada con el modelo de contratación de la Universidad. "/>
    <x v="1"/>
    <x v="14"/>
  </r>
  <r>
    <x v="0"/>
    <x v="6"/>
    <s v="D2: Equipos insuficientes para la operación del proceso (Cámaras de televisión, micrófonos, luces, trípodes, baterías, teléfonos, almacenamiento de los equipos)"/>
    <x v="4"/>
    <x v="10"/>
  </r>
  <r>
    <x v="0"/>
    <x v="6"/>
    <s v="D3: El proceso de la Oficina Asesora no cuenta con un servidor propio ni unidades de almacenamiento "/>
    <x v="4"/>
    <x v="19"/>
  </r>
  <r>
    <x v="0"/>
    <x v="6"/>
    <s v="D4. No se puede contar con el apoyo de pasantes dado que los perfiles académicos no se adaptan a las necesidades del proceso"/>
    <x v="1"/>
    <x v="27"/>
  </r>
  <r>
    <x v="0"/>
    <x v="6"/>
    <s v="D5: La asignación de recursos financieros para la contratación del personal especializado para el proceso de comunicaciones es limitado, lo que ocasiona una alta rotación del mismo."/>
    <x v="5"/>
    <x v="11"/>
  </r>
  <r>
    <x v="0"/>
    <x v="6"/>
    <s v="D6. Establecimiento de programas de mantenimiento preventivo para los equipos del proceso"/>
    <x v="2"/>
    <x v="15"/>
  </r>
  <r>
    <x v="0"/>
    <x v="6"/>
    <s v="D7: Proceso de compras complejo y demorado. "/>
    <x v="0"/>
    <x v="1"/>
  </r>
  <r>
    <x v="0"/>
    <x v="6"/>
    <s v="D8.Insuficiencia de recursos físicos y económicos para el transporte seguro y oportuno en el cubrimiento de eventos en las diferentes sedes de la Universidad."/>
    <x v="5"/>
    <x v="28"/>
  </r>
  <r>
    <x v="0"/>
    <x v="6"/>
    <s v="D9. Falta de capacitaciones al talento humano del proceso de comunicaciones en temas que permitan el fortalecimiento de sus competencias técnicas."/>
    <x v="1"/>
    <x v="16"/>
  </r>
  <r>
    <x v="0"/>
    <x v="6"/>
    <s v="D10. Incumplimiento con los lineamientos del manual en su última versión"/>
    <x v="0"/>
    <x v="18"/>
  </r>
  <r>
    <x v="0"/>
    <x v="6"/>
    <s v="D11. La cobertura del internet no es optima dentro de las instalaciones"/>
    <x v="4"/>
    <x v="26"/>
  </r>
  <r>
    <x v="0"/>
    <x v="6"/>
    <s v="D12. Inoportunidad en el suministro de la información y de tiempos establecidos para la producción del servicio requerido."/>
    <x v="0"/>
    <x v="1"/>
  </r>
  <r>
    <x v="0"/>
    <x v="6"/>
    <s v="D13. Mal funcionamiento de las carteleras digitales en seccionales y extensiones a causa de problemas técnicos"/>
    <x v="4"/>
    <x v="19"/>
  </r>
  <r>
    <x v="0"/>
    <x v="6"/>
    <s v="D14. Manejo de redes sociales institucionales por parte de los procesos en seccionales y extensiones sin control de imagen institucional dada la necesidad de comunicación inmediata con la comunidad académica como plan de contingencia ante circunstancias de calamidad pública"/>
    <x v="1"/>
    <x v="6"/>
  </r>
  <r>
    <x v="0"/>
    <x v="6"/>
    <s v="D15. Alto volumen de solicitudes de publicación web lo que ocasiona una alta carga laboral para el proceso"/>
    <x v="1"/>
    <x v="8"/>
  </r>
  <r>
    <x v="0"/>
    <x v="6"/>
    <s v="D16. Excesivo flujo de información lo que puede generar infoxicación en el equipo de trabajo"/>
    <x v="0"/>
    <x v="17"/>
  </r>
  <r>
    <x v="0"/>
    <x v="6"/>
    <s v="D17. Falta de organización y estructuración de los archivos y de la información a publicar por parte de los procesos"/>
    <x v="0"/>
    <x v="17"/>
  </r>
  <r>
    <x v="0"/>
    <x v="6"/>
    <s v="D18. No se cuenta con lenguaje claro en la denominación de los archivos para el sitio web de solicitudes públicas a cotizar"/>
    <x v="0"/>
    <x v="29"/>
  </r>
  <r>
    <x v="0"/>
    <x v="7"/>
    <s v="D1. No contar con suficiente talento humano para desarrollar las actividades del proceso Dialogando con el Mundo."/>
    <x v="1"/>
    <x v="8"/>
  </r>
  <r>
    <x v="0"/>
    <x v="7"/>
    <s v="D2. No contar con un espacio físico adecuado a las necesidades del proceso."/>
    <x v="4"/>
    <x v="9"/>
  </r>
  <r>
    <x v="0"/>
    <x v="7"/>
    <s v="D3. No contar con el acceso a la información financiera, genera inestabilidad en el manejo del rubro. "/>
    <x v="0"/>
    <x v="17"/>
  </r>
  <r>
    <x v="0"/>
    <x v="7"/>
    <s v="D4. No se cuenta con las horas indirectas en los contratos de los maestros suficiente para la visibilidad institucional,   nacional e internacional de Dialogando con el Mundo (horas Docentes por facultad)."/>
    <x v="1"/>
    <x v="8"/>
  </r>
  <r>
    <x v="0"/>
    <x v="7"/>
    <s v="D5.Falta de institucionalización de la oficina de relaciones internacionales ORI."/>
    <x v="2"/>
    <x v="30"/>
  </r>
  <r>
    <x v="0"/>
    <x v="7"/>
    <s v="D6. La Universidad de Cundinamarca al no estar bien posicionada  en el ranking internacional, no es visible como destino académico para estudiantes y docentes.  "/>
    <x v="2"/>
    <x v="31"/>
  </r>
  <r>
    <x v="0"/>
    <x v="7"/>
    <s v="D7.No contar con articulación en el proceso de investigación y en la oficina de Ciencia, Tecnología e Innovación para generar un sistema internacional para la investigación conjunta."/>
    <x v="0"/>
    <x v="0"/>
  </r>
  <r>
    <x v="0"/>
    <x v="7"/>
    <s v="D8. No financiamiento de la internacionalización con entes externos. "/>
    <x v="5"/>
    <x v="11"/>
  </r>
  <r>
    <x v="0"/>
    <x v="7"/>
    <s v="D9. No contar con recursos financieros necesarios para la realizar la movilidad a Europa, Norte América y Asia.(Cambio de moneda no favorece la movilidad a estos continentes)."/>
    <x v="5"/>
    <x v="11"/>
  </r>
  <r>
    <x v="0"/>
    <x v="7"/>
    <s v="D10. Falta de talento humano que represente el proceso Dialogando con el Mundo en las seccionales y extensiones de la Universidad de Cundinamarca."/>
    <x v="2"/>
    <x v="30"/>
  </r>
  <r>
    <x v="0"/>
    <x v="7"/>
    <s v="D11. Faltan lineamientos que permitan la doble titulación en conjunto con las instituciones del exterior e internamente."/>
    <x v="2"/>
    <x v="15"/>
  </r>
  <r>
    <x v="0"/>
    <x v="7"/>
    <s v="D12. Demora en los procesos de contratación del talento humano. "/>
    <x v="1"/>
    <x v="14"/>
  </r>
  <r>
    <x v="0"/>
    <x v="7"/>
    <s v="D13. No se cuenta con un perfil docente calificado para afrontar retos multilingües con base en proyectos de internacionalización en el currículo. "/>
    <x v="1"/>
    <x v="16"/>
  </r>
  <r>
    <x v="0"/>
    <x v="7"/>
    <s v="D14. Falta de cultura académica en materia de internacionalización en casa. "/>
    <x v="0"/>
    <x v="13"/>
  </r>
  <r>
    <x v="0"/>
    <x v="7"/>
    <s v="D15. Presupuesto limitado para gestión de la internacionalización en la UCundinamarca."/>
    <x v="5"/>
    <x v="11"/>
  </r>
  <r>
    <x v="0"/>
    <x v="8"/>
    <s v="D1. Alta rotación de personal, lo que genera poco conocimiento de la entidad y sus procesos así como poco compromiso con el desarrollo de la gestión. "/>
    <x v="1"/>
    <x v="14"/>
  </r>
  <r>
    <x v="0"/>
    <x v="8"/>
    <s v="D2. El modelo y los tiempos de contratación de la universidad es ineficiente"/>
    <x v="0"/>
    <x v="1"/>
  </r>
  <r>
    <x v="0"/>
    <x v="8"/>
    <s v="D3. Falta de compromiso y apoyo en la labor preventiva que realiza la oficina, lo que se traduce en inasistencia a los eventos de capacitación."/>
    <x v="1"/>
    <x v="6"/>
  </r>
  <r>
    <x v="0"/>
    <x v="8"/>
    <s v="D4. Faltan convenios que permitan mejorar las relaciones internas y externas del proceso."/>
    <x v="2"/>
    <x v="30"/>
  </r>
  <r>
    <x v="0"/>
    <x v="8"/>
    <s v="D5. Se desconocen las necesidades de la comunidad académica y partes interesadas."/>
    <x v="2"/>
    <x v="4"/>
  </r>
  <r>
    <x v="0"/>
    <x v="8"/>
    <s v="D6. No se han aplicado procesos de capacitación o inducción para el fortalecimiento de competencias laborales de los funcionarios."/>
    <x v="1"/>
    <x v="32"/>
  </r>
  <r>
    <x v="0"/>
    <x v="8"/>
    <s v="D7. No se generan ambientes propicios para la innovación y aprendizaje continuo de los funcionarios."/>
    <x v="7"/>
    <x v="33"/>
  </r>
  <r>
    <x v="0"/>
    <x v="8"/>
    <s v="D8. El proceso no cuenta con mediciones que garanticen el bienestar de los funcionarios en el puesto de trabajo."/>
    <x v="3"/>
    <x v="34"/>
  </r>
  <r>
    <x v="0"/>
    <x v="8"/>
    <s v="D9. No cumplimiento del personal interno o externo frente a las diligencias citadas dentro de los procesos disciplinarios."/>
    <x v="1"/>
    <x v="6"/>
  </r>
  <r>
    <x v="0"/>
    <x v="9"/>
    <s v="D1. No hay suficiente capacidad instalada para atender las necesidades de la Universidad."/>
    <x v="4"/>
    <x v="9"/>
  </r>
  <r>
    <x v="0"/>
    <x v="9"/>
    <s v="D2. Falta de sistematización en la Oficina."/>
    <x v="0"/>
    <x v="35"/>
  </r>
  <r>
    <x v="0"/>
    <x v="9"/>
    <s v="D3.Deficiente  infraestructura Tecnológica para el desarrollo eficaz de las actividades del proceso."/>
    <x v="4"/>
    <x v="19"/>
  </r>
  <r>
    <x v="0"/>
    <x v="9"/>
    <s v="D4. No identificación oportuna  de cambios normativos."/>
    <x v="0"/>
    <x v="13"/>
  </r>
  <r>
    <x v="0"/>
    <x v="9"/>
    <s v="D5. Debilidad de conocimiento respecto a los nuevos sistemas, modelos, normatividad adoptados por la Universidad de Cundinamarca."/>
    <x v="1"/>
    <x v="6"/>
  </r>
  <r>
    <x v="0"/>
    <x v="9"/>
    <s v="D6.Falta de entrega oportuna de  información por parte de los procesos para las actividades propias del proceso."/>
    <x v="0"/>
    <x v="1"/>
  </r>
  <r>
    <x v="0"/>
    <x v="9"/>
    <s v="D7. Perdida de información clave del proceso."/>
    <x v="0"/>
    <x v="29"/>
  </r>
  <r>
    <x v="0"/>
    <x v="9"/>
    <s v="D8. Falta de cobertura  de funcionarios  del proceso en seccionales  y extensiones."/>
    <x v="1"/>
    <x v="8"/>
  </r>
  <r>
    <x v="0"/>
    <x v="9"/>
    <s v="D9. Entrega de Información sin los parámetros establecidos de Confiabilidad, Veracidad, Calidad .( Firmas, Fechas, versiones actualizadas o cantidad de documentos entregables.) "/>
    <x v="0"/>
    <x v="17"/>
  </r>
  <r>
    <x v="0"/>
    <x v="9"/>
    <s v="D10.No se cuenta con adaptación de infraestructura en temas de inclusión  ."/>
    <x v="4"/>
    <x v="9"/>
  </r>
  <r>
    <x v="0"/>
    <x v="9"/>
    <s v="D11. No se cuenta con estrategias que fomenten la inclusión dentro de las actividades de los procedimientos del proceso. "/>
    <x v="2"/>
    <x v="4"/>
  </r>
  <r>
    <x v="0"/>
    <x v="9"/>
    <s v="D12. Falta de definición en la clasificación de los hallazgos. "/>
    <x v="3"/>
    <x v="5"/>
  </r>
  <r>
    <x v="0"/>
    <x v="10"/>
    <s v="D1. Rotación constante de personal de término fijo y OPS."/>
    <x v="1"/>
    <x v="14"/>
  </r>
  <r>
    <x v="0"/>
    <x v="10"/>
    <s v="D2. Falta de articulación e interacción con los demás Procesos de la Universidad."/>
    <x v="0"/>
    <x v="0"/>
  </r>
  <r>
    <x v="0"/>
    <x v="10"/>
    <s v="D3. Falta de capacitación en la implementación de nuevas herramientas tecnológicas y nuevas metodologías al personal de la Dirección."/>
    <x v="1"/>
    <x v="32"/>
  </r>
  <r>
    <x v="0"/>
    <x v="10"/>
    <s v="D4. Falta oportunidad en soporte técnico y mantenimiento de equipos."/>
    <x v="4"/>
    <x v="21"/>
  </r>
  <r>
    <x v="0"/>
    <x v="10"/>
    <s v="D5. El modelo y los tiempos de contratación de la Universidad es ineficiente."/>
    <x v="0"/>
    <x v="1"/>
  </r>
  <r>
    <x v="0"/>
    <x v="10"/>
    <s v="D6. Proyección sobredimensionada de la meta de presupuesto anual, sin contemplar la naturaleza de la Dirección de Proyectos Especiales y Relaciones Interinstitucionales."/>
    <x v="2"/>
    <x v="4"/>
  </r>
  <r>
    <x v="0"/>
    <x v="10"/>
    <s v="D7. Usualmente no se puede dar cabal cumplimiento al cronograma de mantenimiento de equipos, por dificultades en el desplazamiento del personal de sistemas; así mismo, cuando se presentan fallas en la prestación del servicio de Internet, al consultar al área de sistemas argumentan que tienen otras prioridades. "/>
    <x v="5"/>
    <x v="28"/>
  </r>
  <r>
    <x v="0"/>
    <x v="10"/>
    <s v="D8. No se cuenta con la capacidad suficiente de personal para atender las necesidades del proceso."/>
    <x v="1"/>
    <x v="8"/>
  </r>
  <r>
    <x v="0"/>
    <x v="11"/>
    <s v="D1. Recurso humano insuficiente para la operación del Proceso. "/>
    <x v="1"/>
    <x v="8"/>
  </r>
  <r>
    <x v="0"/>
    <x v="11"/>
    <s v="D2. Equipo tecnológico insuficiente para la operación del proceso. (Seccionales)"/>
    <x v="4"/>
    <x v="36"/>
  </r>
  <r>
    <x v="0"/>
    <x v="11"/>
    <s v="D3. Falta la adquisición de un software de Administración Documental en la Universidad."/>
    <x v="4"/>
    <x v="19"/>
  </r>
  <r>
    <x v="0"/>
    <x v="11"/>
    <s v="D4. Falta de oportunidad en el servicio de transporte para transferencias documentales."/>
    <x v="4"/>
    <x v="37"/>
  </r>
  <r>
    <x v="0"/>
    <x v="11"/>
    <s v="D5. Incumplimiento a la resolución 161 de Agosto de 2016,  la cual da la directriz para la radicación de documentos."/>
    <x v="0"/>
    <x v="25"/>
  </r>
  <r>
    <x v="0"/>
    <x v="11"/>
    <s v="D6. Limitación en la promoción del personal dentro del Proceso."/>
    <x v="7"/>
    <x v="33"/>
  </r>
  <r>
    <x v="0"/>
    <x v="11"/>
    <s v="D7. Hackers Informáticos internos "/>
    <x v="4"/>
    <x v="19"/>
  </r>
  <r>
    <x v="0"/>
    <x v="11"/>
    <s v="D8. Vulnerabilidad de la información digital."/>
    <x v="4"/>
    <x v="19"/>
  </r>
  <r>
    <x v="0"/>
    <x v="11"/>
    <s v="D9. Malas practicas archivisticas por las condiciones inseguras en el manejo del mismo a falta de elementos de proteccion "/>
    <x v="1"/>
    <x v="6"/>
  </r>
  <r>
    <x v="0"/>
    <x v="11"/>
    <s v="D10. Se generan reprocesos en las actividades articuladas con otros procesos"/>
    <x v="0"/>
    <x v="0"/>
  </r>
  <r>
    <x v="0"/>
    <x v="11"/>
    <s v="D11. No se cuenta con actividades programadas de sensibilización y preparación para atender a la comunidad que presenta condiciones especiales"/>
    <x v="2"/>
    <x v="15"/>
  </r>
  <r>
    <x v="0"/>
    <x v="11"/>
    <s v="D12. No contar con el edificio para el archivo central de conformidad con la normatividad (Acuerdo 042 de 2002 y 037 de 2002)"/>
    <x v="4"/>
    <x v="9"/>
  </r>
  <r>
    <x v="0"/>
    <x v="11"/>
    <s v="D13. Capacitación insuficiente en temas a fines del proceso"/>
    <x v="1"/>
    <x v="32"/>
  </r>
  <r>
    <x v="0"/>
    <x v="11"/>
    <s v="D14. No garantizar la custodia del archivo acorde con los tiempos establecidos en las tablas de retención documental"/>
    <x v="0"/>
    <x v="1"/>
  </r>
  <r>
    <x v="0"/>
    <x v="11"/>
    <s v="D15. Falta de control en los roles administrativos en la creación de nuevos usuarios en el aplicativo Hermesoft 3.2 &quot;aplicativo de correspondencia&quot; (Aplicativo de la Universidad de Pamplona)"/>
    <x v="3"/>
    <x v="5"/>
  </r>
  <r>
    <x v="0"/>
    <x v="11"/>
    <s v="D16. No disponer del archivo físico para la oportuna respuesta de solicitudes"/>
    <x v="4"/>
    <x v="9"/>
  </r>
  <r>
    <x v="0"/>
    <x v="11"/>
    <s v="D17. Eliminación de documentos físicos o digitales por parte de las diferentes áreas"/>
    <x v="0"/>
    <x v="29"/>
  </r>
  <r>
    <x v="0"/>
    <x v="12"/>
    <s v="D1 Espacios físicos insuficientes para el desarrollo de las actividades rutinarias del proceso"/>
    <x v="4"/>
    <x v="9"/>
  </r>
  <r>
    <x v="0"/>
    <x v="12"/>
    <s v="D2. Identificación y aplicación de la normatividad legal vigente desde su publicación."/>
    <x v="0"/>
    <x v="25"/>
  </r>
  <r>
    <x v="0"/>
    <x v="12"/>
    <s v="D3. Incumplimiento en pagos, por no ejercer la operación, debido a  bloqueos producto de paros o asonadas  en la Universidad de Cundinamarca."/>
    <x v="0"/>
    <x v="23"/>
  </r>
  <r>
    <x v="0"/>
    <x v="12"/>
    <s v="D4. Desconocimiento de la información por falta de socialización de los procesos responsables del cambio de la normatividad interna."/>
    <x v="0"/>
    <x v="12"/>
  </r>
  <r>
    <x v="0"/>
    <x v="12"/>
    <s v="D5.  Falta implementar mecanismos que mejoren la conectividad en las contingencias que se puedan llegar a presentar por eventos inesperados, los cuales puedan afectar la prestación normal del servicio, en modalidad presencial, teletrabajo o trabajo desde casa. (Equipos, Internet, software, hardware)"/>
    <x v="4"/>
    <x v="26"/>
  </r>
  <r>
    <x v="0"/>
    <x v="12"/>
    <s v="D6. No se cuenta con software en línea  que permita la comunicación de todos los procesos internos y externos "/>
    <x v="4"/>
    <x v="19"/>
  </r>
  <r>
    <x v="0"/>
    <x v="12"/>
    <s v="D7. No se cuenta con herramientas digitales en línea para realizar seguimiento a los tramites radicados por las Partes interesadas."/>
    <x v="4"/>
    <x v="19"/>
  </r>
  <r>
    <x v="0"/>
    <x v="12"/>
    <s v="D8. No se cuenta con la practica de uso de las firmas digitales que ayuden a gestionar de forma  ágil los tramites. "/>
    <x v="1"/>
    <x v="6"/>
  </r>
  <r>
    <x v="0"/>
    <x v="12"/>
    <s v="D9. No se cuenta con el personal suficiente para la ejecución normal de las actividades de la oficina de contabilidad."/>
    <x v="1"/>
    <x v="8"/>
  </r>
  <r>
    <x v="0"/>
    <x v="12"/>
    <s v="D10. Incumplimiento de los supervisores en las directrices establecidas en el manual de contratación, lo cual  afecta los resultados  del proceso financiero, debido a los reprocesos que se deben realizar.."/>
    <x v="0"/>
    <x v="25"/>
  </r>
  <r>
    <x v="0"/>
    <x v="12"/>
    <s v="D11. Realizar duplicidad de pagos o demora  en los pagos por falta de controles oportunos que permitan identificar la trazabilidad de radicación por correo electrónico."/>
    <x v="3"/>
    <x v="5"/>
  </r>
  <r>
    <x v="0"/>
    <x v="12"/>
    <s v="D12. Se radican cuentas de carácter urgente después de la 6pm lo cual impide dar respuesta oportuna a las solicitudes."/>
    <x v="0"/>
    <x v="1"/>
  </r>
  <r>
    <x v="0"/>
    <x v="12"/>
    <s v="D13. Información radicada virtualmente sin los parámetros establecidos legales y de calidad           ( documentos originales sin firmas; pagos de seguridad social falsificados, soportes incompletos)"/>
    <x v="0"/>
    <x v="17"/>
  </r>
  <r>
    <x v="0"/>
    <x v="12"/>
    <s v="D14. Falta de actualización de la información documentada del proceso y la continuidad en la aplicación de los nuevos controles y prácticas establecidas. Hallazgo 16"/>
    <x v="0"/>
    <x v="29"/>
  </r>
  <r>
    <x v="0"/>
    <x v="12"/>
    <s v="D15. No considerar las acciones de mejora para mitigar el impacto de incumplimiento en metas establecidas en los indicadores. Hallazgo 17"/>
    <x v="2"/>
    <x v="15"/>
  </r>
  <r>
    <x v="0"/>
    <x v="12"/>
    <s v="D16. No se realizo planificación para priorizar las actividades laborales para el trabajo desde casa, lo cual genero (sobre carga laboral y estrés en los funcionarios)."/>
    <x v="7"/>
    <x v="33"/>
  </r>
  <r>
    <x v="0"/>
    <x v="13"/>
    <s v="D1. Insuficiente recurso financiero para la vinculación de talento humano para la gestión de los procesos"/>
    <x v="5"/>
    <x v="11"/>
  </r>
  <r>
    <x v="0"/>
    <x v="13"/>
    <s v="D2. Insuficiente seguimiento al proceso de evaluación de desempeño docente"/>
    <x v="3"/>
    <x v="5"/>
  </r>
  <r>
    <x v="0"/>
    <x v="13"/>
    <s v="D3. Reducir índices de repitencia y de graduación tardía"/>
    <x v="2"/>
    <x v="4"/>
  </r>
  <r>
    <x v="0"/>
    <x v="13"/>
    <s v="D4. El número de profesores de planta incide en los procesos de registro calificado y acreditación de alta calidad"/>
    <x v="1"/>
    <x v="8"/>
  </r>
  <r>
    <x v="0"/>
    <x v="13"/>
    <s v="D5. Falta de articulación entre los programas de pregrado y postgrado en procesos académicos"/>
    <x v="0"/>
    <x v="0"/>
  </r>
  <r>
    <x v="0"/>
    <x v="13"/>
    <s v="D6. Insuficiente apoyo institucional para los planes de mejoramiento derivados de los ejercicios de autoevaluación"/>
    <x v="1"/>
    <x v="6"/>
  </r>
  <r>
    <x v="0"/>
    <x v="13"/>
    <s v="D7. Currículos y planes de estudio que requieren actualización."/>
    <x v="0"/>
    <x v="29"/>
  </r>
  <r>
    <x v="0"/>
    <x v="13"/>
    <s v="D8. Procesos investigativos desarticulados con las líneas de investigación institucional (Postgrados)"/>
    <x v="0"/>
    <x v="0"/>
  </r>
  <r>
    <x v="0"/>
    <x v="13"/>
    <s v="D9. Bajos ingresos por  concepto de matriculas en los programas de especialización y maestrías (Descuentos aplicados, decrecimiento en el número de estudiantes y número mínimo de estudiantes para cumplir el punto de equilibrio)"/>
    <x v="5"/>
    <x v="11"/>
  </r>
  <r>
    <x v="0"/>
    <x v="13"/>
    <s v="D10. Baja protección, disponibilidad, custodia e integridad de la información física y digital en las áreas que conforman el proceso de Formación y Aprendizaje"/>
    <x v="0"/>
    <x v="17"/>
  </r>
  <r>
    <x v="0"/>
    <x v="13"/>
    <s v="D11. La opción de grado de semestre avanzado en postgrados sin continuidad ni culminación del programa."/>
    <x v="0"/>
    <x v="23"/>
  </r>
  <r>
    <x v="0"/>
    <x v="13"/>
    <s v="D12. Falta de una política institucional para ofrecer descuentos en convenios suscritos (postgrados)"/>
    <x v="2"/>
    <x v="4"/>
  </r>
  <r>
    <x v="0"/>
    <x v="13"/>
    <s v="D13. No se cuenta con un portafolio de opciones de pago y de financiamiento para los programas de postgrados"/>
    <x v="2"/>
    <x v="15"/>
  </r>
  <r>
    <x v="0"/>
    <x v="13"/>
    <s v="D14. No hay publicidad sobre los programas de postgrados"/>
    <x v="0"/>
    <x v="12"/>
  </r>
  <r>
    <x v="0"/>
    <x v="13"/>
    <s v="D15. Entrega de información incompleta para la creación de cursos virtuales"/>
    <x v="0"/>
    <x v="17"/>
  </r>
  <r>
    <x v="0"/>
    <x v="13"/>
    <s v="D16. Falta de estrategias para el almacenamiento de los contenidos desarrollados en los cursos y aulas virtuales"/>
    <x v="2"/>
    <x v="15"/>
  </r>
  <r>
    <x v="0"/>
    <x v="13"/>
    <s v="D17. Retrasos en la entrega de los cursos o aulas virtuales a los programas académicos"/>
    <x v="0"/>
    <x v="1"/>
  </r>
  <r>
    <x v="0"/>
    <x v="13"/>
    <s v="D18. Equipos inadecuados para la operación de las diferentes dependencias del proceso de Formación y Aprendizaje"/>
    <x v="4"/>
    <x v="10"/>
  </r>
  <r>
    <x v="0"/>
    <x v="13"/>
    <s v="D19. No se cuenta con una definición de directrices sobre los procesos de contratación con entidades extranjeras"/>
    <x v="2"/>
    <x v="4"/>
  </r>
  <r>
    <x v="0"/>
    <x v="13"/>
    <s v="D20. Falta de socialización sobre las estrategias de inclusión en la producción de contenido y la atención que se brinda a las partes interesadas del proceso de Formación y Aprendizaje"/>
    <x v="0"/>
    <x v="12"/>
  </r>
  <r>
    <x v="0"/>
    <x v="13"/>
    <s v="D21. Sistematización oportuna de la información en las  horas aprobadas del componente CTI para los docentes"/>
    <x v="0"/>
    <x v="35"/>
  </r>
  <r>
    <x v="0"/>
    <x v="13"/>
    <s v="D22. Deficiencias en los procesos de evaluación a docentes a causa de los tiempos de vinculación en la plataforma por el tipo de contratación (Postgrados)"/>
    <x v="0"/>
    <x v="1"/>
  </r>
  <r>
    <x v="0"/>
    <x v="13"/>
    <s v="D23. Insuficiencia de parámetros para la articulación de información de estudiantes y docentes en los sistemas de información de la institución."/>
    <x v="0"/>
    <x v="0"/>
  </r>
  <r>
    <x v="0"/>
    <x v="13"/>
    <s v="D24. Falta de un proceso de retroalimentación en relación con cursos virtuales de la institución"/>
    <x v="0"/>
    <x v="23"/>
  </r>
  <r>
    <x v="0"/>
    <x v="13"/>
    <s v="D25. Falta de un proceso de retroalimentación a nivel técnico en relación con la plataforma en gestión de aprendizaje"/>
    <x v="1"/>
    <x v="32"/>
  </r>
  <r>
    <x v="0"/>
    <x v="13"/>
    <s v="D26. Insuficiencia en la implementación de estrategias de mercadeo como campañas de promoción y divulgación"/>
    <x v="2"/>
    <x v="15"/>
  </r>
  <r>
    <x v="0"/>
    <x v="13"/>
    <s v="D27. Falta de articulación de los procedimientos, instructivos y formatos con la normatividad interna vigente"/>
    <x v="0"/>
    <x v="29"/>
  </r>
  <r>
    <x v="0"/>
    <x v="13"/>
    <s v="D28. No utilización de los recursos virtuales designados a los docentes"/>
    <x v="1"/>
    <x v="6"/>
  </r>
  <r>
    <x v="0"/>
    <x v="13"/>
    <s v="D29. No utilización de los recursos virtuales producidos para las facultades"/>
    <x v="4"/>
    <x v="19"/>
  </r>
  <r>
    <x v="0"/>
    <x v="13"/>
    <s v="D30. Falta de recursos para la inversión en el mejoramiento de la infraestructura"/>
    <x v="5"/>
    <x v="11"/>
  </r>
  <r>
    <x v="0"/>
    <x v="13"/>
    <s v="D31. Talento humano insuficiente que cubra las necesidades de funcionamiento"/>
    <x v="1"/>
    <x v="8"/>
  </r>
  <r>
    <x v="0"/>
    <x v="13"/>
    <s v="D32. Ausencia de un director con un perfil gerencial que asuma las funciones administrativas y venta de servicios del CAD con dedicación exclusiva"/>
    <x v="1"/>
    <x v="38"/>
  </r>
  <r>
    <x v="0"/>
    <x v="13"/>
    <s v="D33. Vulnerabilidad del CAD frente al tema de seguridad"/>
    <x v="4"/>
    <x v="20"/>
  </r>
  <r>
    <x v="0"/>
    <x v="13"/>
    <s v="D34. La meta financiera no corresponde con la posibilidad real de venta de servicios"/>
    <x v="2"/>
    <x v="15"/>
  </r>
  <r>
    <x v="0"/>
    <x v="13"/>
    <s v="D35. No hay directrices administrativas y financieras definidas para el CAD"/>
    <x v="2"/>
    <x v="4"/>
  </r>
  <r>
    <x v="0"/>
    <x v="13"/>
    <s v="D36. Carencia de un diagnostico real de las instalaciones de acueducto, alcantarillado y energía"/>
    <x v="4"/>
    <x v="9"/>
  </r>
  <r>
    <x v="0"/>
    <x v="13"/>
    <s v="D37. No contar con la disponibilidad permanente de los escenarios para la venta de servicios"/>
    <x v="2"/>
    <x v="31"/>
  </r>
  <r>
    <x v="0"/>
    <x v="13"/>
    <s v="D38. Daños materiales en los escenarios"/>
    <x v="4"/>
    <x v="9"/>
  </r>
  <r>
    <x v="0"/>
    <x v="13"/>
    <s v="D39. No contar con un representante de postgrados en los diferentes comités y cuerpo colegiados"/>
    <x v="1"/>
    <x v="27"/>
  </r>
  <r>
    <x v="0"/>
    <x v="14"/>
    <s v="D1. Funciones asignadas mas no documentadas."/>
    <x v="0"/>
    <x v="23"/>
  </r>
  <r>
    <x v="0"/>
    <x v="14"/>
    <s v="D2. Falta fortalecer aspectos relacionados al cumplimiento de las politicas misionales "/>
    <x v="2"/>
    <x v="4"/>
  </r>
  <r>
    <x v="0"/>
    <x v="14"/>
    <s v="D3. Dificultad en la comunicación y visibilidad con seccionales y extensiones."/>
    <x v="0"/>
    <x v="12"/>
  </r>
  <r>
    <x v="0"/>
    <x v="14"/>
    <s v="D4. Falta de articulación con todos los Procesos que pueda llevar al no cumplimiento oportuno de las actividades"/>
    <x v="0"/>
    <x v="0"/>
  </r>
  <r>
    <x v="0"/>
    <x v="14"/>
    <s v="D5.  El proceso aún no está sistematizado."/>
    <x v="0"/>
    <x v="35"/>
  </r>
  <r>
    <x v="0"/>
    <x v="14"/>
    <s v="D6. Falta de actualización del portafolio de cursos y diplomados"/>
    <x v="0"/>
    <x v="29"/>
  </r>
  <r>
    <x v="0"/>
    <x v="15"/>
    <s v="D1. Alta Rotación de Personal."/>
    <x v="1"/>
    <x v="14"/>
  </r>
  <r>
    <x v="0"/>
    <x v="15"/>
    <s v="D2. Falta de articulación con todos los Procesos."/>
    <x v="0"/>
    <x v="0"/>
  </r>
  <r>
    <x v="0"/>
    <x v="15"/>
    <s v="D3. Falta de asignación de actividades. "/>
    <x v="1"/>
    <x v="38"/>
  </r>
  <r>
    <x v="0"/>
    <x v="15"/>
    <s v="D4. Se presentan reprocesos por el no acatamiento de los tiempos de operación por otras partes interesadas que solicitan apoyo a la dirección Jurídica."/>
    <x v="0"/>
    <x v="1"/>
  </r>
  <r>
    <x v="0"/>
    <x v="15"/>
    <s v="D5. El no cumplimiento de los procesos o que estos no brinden soluciones agiles."/>
    <x v="0"/>
    <x v="23"/>
  </r>
  <r>
    <x v="0"/>
    <x v="15"/>
    <s v="D6. El proceso no cuenta con estrategias que garanticen el fortalecimiento de las relaciones humanas  de cara con el ambiente laboral"/>
    <x v="2"/>
    <x v="15"/>
  </r>
  <r>
    <x v="0"/>
    <x v="15"/>
    <s v="D7. Escases de sistemas de información, pues no están cubiertos los procesos judiciales y extrajudiciales."/>
    <x v="4"/>
    <x v="19"/>
  </r>
  <r>
    <x v="0"/>
    <x v="15"/>
    <s v="D8. Falta un adecuado control de la información en el proceso"/>
    <x v="0"/>
    <x v="17"/>
  </r>
  <r>
    <x v="0"/>
    <x v="15"/>
    <s v="D9. Falta asegurar la gestión del conocimiento en el proceso. "/>
    <x v="1"/>
    <x v="2"/>
  </r>
  <r>
    <x v="0"/>
    <x v="15"/>
    <s v="D10. No hay un plan de capacitación para los contratistas en temas generales, específicos de cargo y en tema de inclusión."/>
    <x v="1"/>
    <x v="32"/>
  </r>
  <r>
    <x v="0"/>
    <x v="16"/>
    <s v="D1. Dificultades para la obtención de información veraz, actualizada y confiable"/>
    <x v="0"/>
    <x v="17"/>
  </r>
  <r>
    <x v="0"/>
    <x v="16"/>
    <s v="D2. Falta de Articulación con la Planeación Académica y políticas misionales que se desarrollan en la Institución"/>
    <x v="0"/>
    <x v="0"/>
  </r>
  <r>
    <x v="0"/>
    <x v="16"/>
    <s v="D3. No hay suficiente capacidad instalada para atender las necesidades de la Universidad"/>
    <x v="4"/>
    <x v="9"/>
  </r>
  <r>
    <x v="0"/>
    <x v="16"/>
    <s v="D4. Retrasos en la Información solicitada a los procesos."/>
    <x v="0"/>
    <x v="1"/>
  </r>
  <r>
    <x v="0"/>
    <x v="16"/>
    <s v="D5. Falta de actualización de la documentación del proceso con el fin de abordar los lineamientos de la Política de Inclusión"/>
    <x v="0"/>
    <x v="29"/>
  </r>
  <r>
    <x v="0"/>
    <x v="16"/>
    <s v="D6. No contar con la información necesaria como elemento de entrada para la Revisión por la Dirección"/>
    <x v="0"/>
    <x v="17"/>
  </r>
  <r>
    <x v="0"/>
    <x v="16"/>
    <s v="D6. Las modalidades de Contratación con las que cuenta el proceso, impiden que se realicen procesos de capacitación e inducción a los funcionarios para el desarrollo sus competencias laborales."/>
    <x v="0"/>
    <x v="23"/>
  </r>
  <r>
    <x v="0"/>
    <x v="16"/>
    <s v="D7. Falta de herramientas que permitan asegurar la confiabilidad de los datos"/>
    <x v="4"/>
    <x v="19"/>
  </r>
  <r>
    <x v="0"/>
    <x v="16"/>
    <s v="D8. Falta de cumplimiento en algunos Lineamientos de acreditación de programas e institucional."/>
    <x v="1"/>
    <x v="6"/>
  </r>
  <r>
    <x v="0"/>
    <x v="16"/>
    <s v="D9. Estructura y lineamientos de los Sistemas de Gestión no se encuentran articulados."/>
    <x v="0"/>
    <x v="0"/>
  </r>
  <r>
    <x v="0"/>
    <x v="17"/>
    <s v="D1. Demora en los tiempos de respuesta por parte de las dependencias"/>
    <x v="0"/>
    <x v="1"/>
  </r>
  <r>
    <x v="0"/>
    <x v="17"/>
    <s v="D2. Se presenta alta rotación de los funcionarios en la institución"/>
    <x v="1"/>
    <x v="14"/>
  </r>
  <r>
    <x v="0"/>
    <x v="17"/>
    <s v="D3. Instalaciones Locativas insuficientes en seccionales y extensiones"/>
    <x v="4"/>
    <x v="9"/>
  </r>
  <r>
    <x v="0"/>
    <x v="17"/>
    <s v="D4. Falta de claridad en las respuestas dadas por los procesos competentes"/>
    <x v="0"/>
    <x v="12"/>
  </r>
  <r>
    <x v="0"/>
    <x v="17"/>
    <s v="D5. El modelo y los tiempos de contratación de la universidad son demorados"/>
    <x v="0"/>
    <x v="1"/>
  </r>
  <r>
    <x v="0"/>
    <x v="17"/>
    <s v="D6. Dependencia de los usuarios al clasificar la solicitud."/>
    <x v="0"/>
    <x v="17"/>
  </r>
  <r>
    <x v="0"/>
    <x v="17"/>
    <s v="D7. Dependencia de otros procesos para tomar acciones frente a las PQRS impuestas a la Universidad de Cundinamarca"/>
    <x v="0"/>
    <x v="0"/>
  </r>
  <r>
    <x v="0"/>
    <x v="17"/>
    <s v="D8. Falta de toma de conciencia y conocimiento en la responsabilidad cuando se da respuesta a las PQRS"/>
    <x v="1"/>
    <x v="6"/>
  </r>
  <r>
    <x v="0"/>
    <x v="17"/>
    <s v="D9.Falta de adaptabilidad del aplicativo de PQRSFYD para la población con discapacidad."/>
    <x v="4"/>
    <x v="19"/>
  </r>
  <r>
    <x v="0"/>
    <x v="17"/>
    <s v="D10. Personal insuficiente para el desarrollo de las actividades del proceso."/>
    <x v="1"/>
    <x v="8"/>
  </r>
  <r>
    <x v="0"/>
    <x v="17"/>
    <s v="D11. El sistema no permite reclasificar las peticiones "/>
    <x v="4"/>
    <x v="19"/>
  </r>
  <r>
    <x v="0"/>
    <x v="18"/>
    <s v="D1. No contar con suficientes herramientas tecnológicas que permitan dar respuesta a necesidades dentro del proceso (aplicativos)"/>
    <x v="4"/>
    <x v="19"/>
  </r>
  <r>
    <x v="0"/>
    <x v="18"/>
    <s v="D2. No es suficiente la asignación del rubro presupuestal para la ejecución de las actividades del proceso."/>
    <x v="5"/>
    <x v="11"/>
  </r>
  <r>
    <x v="0"/>
    <x v="18"/>
    <s v="D3. Versiones iniciales de la documentación del SGC en papel"/>
    <x v="6"/>
    <x v="24"/>
  </r>
  <r>
    <x v="0"/>
    <x v="18"/>
    <s v="D4. Contratos de trabajo interrumpido"/>
    <x v="1"/>
    <x v="14"/>
  </r>
  <r>
    <x v="0"/>
    <x v="18"/>
    <s v="D5. Parte de la administración de los aplicativos del SGC está a cargo de otros procesos"/>
    <x v="4"/>
    <x v="19"/>
  </r>
  <r>
    <x v="0"/>
    <x v="18"/>
    <s v="D6. Falta de disponibilidad de tiempo de los procesos para los temas de calidad"/>
    <x v="1"/>
    <x v="6"/>
  </r>
  <r>
    <x v="0"/>
    <x v="18"/>
    <s v="D7. Rotación de facilitadores de temas de calidad en los procesos."/>
    <x v="1"/>
    <x v="14"/>
  </r>
  <r>
    <x v="0"/>
    <x v="18"/>
    <s v="D8. Falta de articulación en las fuentes de información para la medición de los procesos."/>
    <x v="0"/>
    <x v="0"/>
  </r>
  <r>
    <x v="0"/>
    <x v="18"/>
    <s v="D9. Falta de articulación en las herramientas administrativas de seguimiento y gestión en el proceso"/>
    <x v="4"/>
    <x v="10"/>
  </r>
  <r>
    <x v="0"/>
    <x v="18"/>
    <s v="D10. Falta fortalecer el enfoque por procesos en la Institución"/>
    <x v="2"/>
    <x v="4"/>
  </r>
  <r>
    <x v="0"/>
    <x v="18"/>
    <s v="D11. Falta toma de conciencia en la aplicación de los criterios documentales para la elaboración y actualización por parte de los Procesos"/>
    <x v="1"/>
    <x v="6"/>
  </r>
  <r>
    <x v="0"/>
    <x v="18"/>
    <s v="D12. Dificultad en la comunicación por la modalidad de trabajo en casa"/>
    <x v="0"/>
    <x v="12"/>
  </r>
  <r>
    <x v="0"/>
    <x v="19"/>
    <s v="D1. No contar con los recursos económicos suficientes para la  ejecución de los proyectos tecnológicos que permitan la ejecución de actividades de la Dirección de Sistemas y Tecnología."/>
    <x v="5"/>
    <x v="11"/>
  </r>
  <r>
    <x v="0"/>
    <x v="19"/>
    <s v="D2.Falta de directrices estratégicas que permitan establecer la planeación para el desarrollo de la Política de Gobierno Digital, establecida por el Ministerio de Información y Comunicación - MinTic"/>
    <x v="2"/>
    <x v="4"/>
  </r>
  <r>
    <x v="0"/>
    <x v="19"/>
    <s v="D3. Capacitación insuficiente para el Personal del área de Sistemas y Tecnología."/>
    <x v="1"/>
    <x v="32"/>
  </r>
  <r>
    <x v="0"/>
    <x v="19"/>
    <s v="D4. Falta de continuidad en la contratación del personal de la Dirección de Sistemas y Tecnología, lo que ocasiona un retraso  en el  normal desarrollo de las actividades programadas"/>
    <x v="1"/>
    <x v="14"/>
  </r>
  <r>
    <x v="0"/>
    <x v="19"/>
    <s v="D5. Desconocimiento por parte de terceros de las directrices trazadas por la Dirección de Sistemas y Tecnología para el desarrollo e implementación de nuevo software "/>
    <x v="1"/>
    <x v="2"/>
  </r>
  <r>
    <x v="0"/>
    <x v="19"/>
    <s v="D6. Requerimientos de desarrollo de software, con necesidades no documentadas ni establecidas en un procedimiento de calidad."/>
    <x v="0"/>
    <x v="29"/>
  </r>
  <r>
    <x v="0"/>
    <x v="19"/>
    <s v="D7. No asistencia de los funcionarios de la Universidad de Cundinamarca  a las socializaciones  suministradas por la Dirección de Sistemas y Tecnología"/>
    <x v="1"/>
    <x v="6"/>
  </r>
  <r>
    <x v="0"/>
    <x v="19"/>
    <s v="D8. Falta de un plan de reposición de equipos de cómputo que cumplen su vida útil."/>
    <x v="4"/>
    <x v="21"/>
  </r>
  <r>
    <x v="0"/>
    <x v="19"/>
    <s v="D9. No es suficiente la asignación del rubro presupuestal para la ejecución de las actividades."/>
    <x v="5"/>
    <x v="11"/>
  </r>
  <r>
    <x v="0"/>
    <x v="19"/>
    <s v="D10. Falta de Documentación adecuada y actualizada en procesos críticos gestionados por personal de Contrato a termino Fijo."/>
    <x v="0"/>
    <x v="29"/>
  </r>
  <r>
    <x v="0"/>
    <x v="19"/>
    <s v="D11. Deficiencias en el monitoreo de Servicios Tecnológicos utilizados a los usuarios Académicos y administrativos."/>
    <x v="3"/>
    <x v="5"/>
  </r>
  <r>
    <x v="0"/>
    <x v="19"/>
    <s v="D12. Falta de masificación en el uso de herramientas para la gestión administrativa y académica."/>
    <x v="1"/>
    <x v="6"/>
  </r>
  <r>
    <x v="0"/>
    <x v="19"/>
    <s v="D13. No se cuenta con recursos redundantes que permitan una continuidad o un plan de Contingencia optimo en los servicios Tecnológicos Ofrecidos a las partes Interesadas."/>
    <x v="5"/>
    <x v="11"/>
  </r>
  <r>
    <x v="0"/>
    <x v="19"/>
    <s v="D14. Seccionales y extensiones que carecen de una adecuada Planta Fisica y acceso integral a los servicios como internet"/>
    <x v="4"/>
    <x v="26"/>
  </r>
  <r>
    <x v="0"/>
    <x v="19"/>
    <s v="D15. El método de contratación y compra es extenso y dispendioso, afectando la ejecución oportuna de los procesos."/>
    <x v="0"/>
    <x v="1"/>
  </r>
  <r>
    <x v="0"/>
    <x v="19"/>
    <s v="D16. Falta de planeación a los cambios a corto y mediano plazo que requiera el proceso."/>
    <x v="2"/>
    <x v="15"/>
  </r>
  <r>
    <x v="0"/>
    <x v="20"/>
    <s v="D1. Oficina muy pequeña para el volumen de funcionarios. De la Dirección de Talento Humano."/>
    <x v="4"/>
    <x v="9"/>
  </r>
  <r>
    <x v="0"/>
    <x v="20"/>
    <s v="D2. Falta de sistematización en las diferentes actividades, que tardan el curso normal de los procesos. (Acuerdos de gestión, retenciones, impuestos, e indicadores)."/>
    <x v="0"/>
    <x v="35"/>
  </r>
  <r>
    <x v="0"/>
    <x v="20"/>
    <s v="D3. Equipo de trabajo insuficiente para el volumen de trabajo."/>
    <x v="1"/>
    <x v="8"/>
  </r>
  <r>
    <x v="0"/>
    <x v="20"/>
    <s v="D4. Ubicación del archivo de hojas de vida del personal de termino fijo muy retirado de la oficina de Talento Humano. Baja seguridad del archivo de hojas de vida, tanto de personal de termino fijo como de docentes."/>
    <x v="4"/>
    <x v="20"/>
  </r>
  <r>
    <x v="0"/>
    <x v="20"/>
    <s v="D5. Falta de verificación de la veracidad de los documentos soportes de contratación."/>
    <x v="0"/>
    <x v="39"/>
  </r>
  <r>
    <x v="0"/>
    <x v="20"/>
    <s v="D6. Falta de restricción del personal ajeno a la oficina de Talento Humano y Dependencia significativa de otros procesos, que tardan la continuidad de las actividades de los diferentes procedimientos."/>
    <x v="4"/>
    <x v="20"/>
  </r>
  <r>
    <x v="0"/>
    <x v="20"/>
    <s v="D7. Falta compromiso del personal en la asistencia de los diferentes eventos programados por el proceso de Talento Humano."/>
    <x v="1"/>
    <x v="6"/>
  </r>
  <r>
    <x v="0"/>
    <x v="20"/>
    <s v="D8. No cumplimiento de los parámetros indicados para la evaluación docente."/>
    <x v="0"/>
    <x v="25"/>
  </r>
  <r>
    <x v="0"/>
    <x v="20"/>
    <s v="D9. Equipos de hardware y red inalámbrica no aptos para el desarrollo de las actividades del proceso."/>
    <x v="4"/>
    <x v="21"/>
  </r>
  <r>
    <x v="0"/>
    <x v="20"/>
    <s v="D10. Incumplimiento de la normatividad legal vigente, relacionada con la afiliación del personal nuevo al sistema de seguridad social."/>
    <x v="0"/>
    <x v="25"/>
  </r>
  <r>
    <x v="0"/>
    <x v="20"/>
    <s v="D11. Falta de compromiso de los funcionarios contratados con la actualizacion de su historia laboral"/>
    <x v="1"/>
    <x v="6"/>
  </r>
  <r>
    <x v="0"/>
    <x v="20"/>
    <s v="D12. No se evidencia como aportan los indicadores al frente estratégico al cual esta articulado el proceso."/>
    <x v="3"/>
    <x v="34"/>
  </r>
  <r>
    <x v="0"/>
    <x v="20"/>
    <s v="D13. No se garantiza la idoneidad en cuanto a educación, formación y experiencia, frente al requisitos de los cargos "/>
    <x v="1"/>
    <x v="16"/>
  </r>
  <r>
    <x v="0"/>
    <x v="20"/>
    <s v="D14. Falta evaluar la eficacia de las capacitaciones."/>
    <x v="3"/>
    <x v="5"/>
  </r>
  <r>
    <x v="0"/>
    <x v="20"/>
    <s v="D15. No se evidencia la eficiencia en el recaudo del pago de las incapacidades "/>
    <x v="0"/>
    <x v="1"/>
  </r>
  <r>
    <x v="0"/>
    <x v="20"/>
    <s v="D16. No se cumplen las fechas establecidas en procedimientos para recepción de novedades de nómina."/>
    <x v="0"/>
    <x v="1"/>
  </r>
  <r>
    <x v="0"/>
    <x v="20"/>
    <s v="D17. Incurrir en multas y/o sanciones derivados por incumplimientos a la normatividad legal vigente causadas por paros, los cuales evitan el funcionamiento normal de la oficina."/>
    <x v="0"/>
    <x v="25"/>
  </r>
  <r>
    <x v="0"/>
    <x v="20"/>
    <s v="D18. Falta de continuidad en el contrato laboral; genera incertidumbre en los contratistas."/>
    <x v="1"/>
    <x v="14"/>
  </r>
  <r>
    <x v="0"/>
    <x v="20"/>
    <s v="D19. No se cuenta con política o mecanismo para gestionar y conservación el conocimiento de los funcionarios que se retiran de la UDEC."/>
    <x v="1"/>
    <x v="2"/>
  </r>
  <r>
    <x v="0"/>
    <x v="20"/>
    <s v="D20.Modalidad de contratación afecta la prestación del servicio y la continuidad de proyectos de investigación."/>
    <x v="1"/>
    <x v="14"/>
  </r>
  <r>
    <x v="0"/>
    <x v="20"/>
    <s v="D21. No evidencian las  acciones de planificación para el logro de los objetivos.(Hallazgo 42-2020)"/>
    <x v="2"/>
    <x v="15"/>
  </r>
  <r>
    <x v="0"/>
    <x v="20"/>
    <s v="D22. No realizar análisis apropiado a los resultados del los indicador. (Hallazgo 44-2020)"/>
    <x v="3"/>
    <x v="5"/>
  </r>
  <r>
    <x v="0"/>
    <x v="20"/>
    <s v="D23.No realizar identificación de las acciones  adecuadas para  determinar la  causa raíz  de los hallazgos en los planes de mejora.(Hallazgo 45-2020)"/>
    <x v="3"/>
    <x v="22"/>
  </r>
  <r>
    <x v="0"/>
    <x v="21"/>
    <s v="D1. Falta de sistematización en las diferentes actividades, que tardan el curso normal de los procesos. (inspecciones sg-sst e indicadores)."/>
    <x v="0"/>
    <x v="35"/>
  </r>
  <r>
    <x v="0"/>
    <x v="21"/>
    <s v="D2. Equipo de trabajo insuficiente para el volumen de trabajo."/>
    <x v="1"/>
    <x v="8"/>
  </r>
  <r>
    <x v="0"/>
    <x v="21"/>
    <s v="D3. Falta de cobertura del SG-SST a todas la Sede, Seccionales, Extensiones, Granjas y Oficina de la Universidad."/>
    <x v="2"/>
    <x v="15"/>
  </r>
  <r>
    <x v="0"/>
    <x v="21"/>
    <s v="D4. Falta compromiso del personal en la asistencia de los diferentes eventos programados por SG-SST."/>
    <x v="1"/>
    <x v="6"/>
  </r>
  <r>
    <x v="0"/>
    <x v="21"/>
    <s v="D5. Incumplimiento de la normatividad legal vigente, relacionada con la afiliación del personal nuevo a la ARL."/>
    <x v="0"/>
    <x v="25"/>
  </r>
  <r>
    <x v="0"/>
    <x v="21"/>
    <s v="D6. No identificación oportuna de cambios en la legislación vigente."/>
    <x v="0"/>
    <x v="13"/>
  </r>
  <r>
    <x v="0"/>
    <x v="21"/>
    <s v="D7. No se evidencia como aportan los indicadores al frente estratégico al cual esta articulado el proceso."/>
    <x v="3"/>
    <x v="34"/>
  </r>
  <r>
    <x v="0"/>
    <x v="21"/>
    <s v="D8. Falta evaluar la eficacia de las capacitaciones."/>
    <x v="3"/>
    <x v="34"/>
  </r>
  <r>
    <x v="0"/>
    <x v="21"/>
    <s v="D9. Falta compromiso del personal frente a la realización y cumplimentó de las actividades relacionadas con Seguridad y Salud en el Trabajo (pausas activas, actividades de PyP)."/>
    <x v="1"/>
    <x v="6"/>
  </r>
  <r>
    <x v="0"/>
    <x v="21"/>
    <s v="D10. No cumplimiento de la obligación de reporte de accidentes de trabajo en los tiempos establecidos."/>
    <x v="0"/>
    <x v="1"/>
  </r>
  <r>
    <x v="0"/>
    <x v="21"/>
    <s v="D11. Falta de recursos para el desplazamiento a los centros de trabajo. "/>
    <x v="4"/>
    <x v="37"/>
  </r>
  <r>
    <x v="0"/>
    <x v="21"/>
    <s v="D12. Riesgo publico por desplazamientos."/>
    <x v="7"/>
    <x v="33"/>
  </r>
  <r>
    <x v="0"/>
    <x v="21"/>
    <s v="D13. Falta de continuidad en el contrato laboral; genera incertidumbre en los contratistas (traumatismo en los procesos) y deficiencia en la cobertura de personal responsable del SG-SST. "/>
    <x v="1"/>
    <x v="14"/>
  </r>
  <r>
    <x v="0"/>
    <x v="21"/>
    <s v="D14. Dificultades en la conectividad virtual con todos los centros de trabajo para desarrollar el COPASST."/>
    <x v="4"/>
    <x v="26"/>
  </r>
  <r>
    <x v="0"/>
    <x v="21"/>
    <s v="D15. Debilidad en las estructura y debilidad en los lineamientos para la brigada de emergencias."/>
    <x v="2"/>
    <x v="15"/>
  </r>
  <r>
    <x v="0"/>
    <x v="21"/>
    <s v="D16.Afectación por la presencia   de manifestantes que generan disturbios al interior de la institución afectando la infraestructura y generan la activación del plan de emergencia."/>
    <x v="4"/>
    <x v="9"/>
  </r>
  <r>
    <x v="0"/>
    <x v="21"/>
    <s v="D17. No evidencian las  acciones de planificación para el logro de los objetivos.(Hallazgo 42-2020)"/>
    <x v="2"/>
    <x v="15"/>
  </r>
  <r>
    <x v="0"/>
    <x v="21"/>
    <s v="D18. No realizar análisis apropiado a los resultados del los indicador. (Hallazgo 44-2020)"/>
    <x v="3"/>
    <x v="34"/>
  </r>
  <r>
    <x v="0"/>
    <x v="21"/>
    <s v="D19.No realizar identificación de las acciones  adecuadas para  determinar la  causa raíz  de los hallazgos en los planes de mejora.(Hallazgo 45-2020)"/>
    <x v="3"/>
    <x v="5"/>
  </r>
  <r>
    <x v="0"/>
    <x v="21"/>
    <s v="D20.No contar con un mecanismo que permitan activar la cadena de llamada de emergencias, con las autoridades municipales. (hallazgo 1)"/>
    <x v="0"/>
    <x v="12"/>
  </r>
  <r>
    <x v="0"/>
    <x v="21"/>
    <s v="D21. Falta de lineamientos para la articulación de los elementos transversales de los sistemas de gestión. "/>
    <x v="0"/>
    <x v="0"/>
  </r>
  <r>
    <x v="0"/>
    <x v="21"/>
    <s v="D22. Falta de evaluación periodica de la matriz de identificación de peligros y riesgos nuevos y existentes de las unidades agroambiental que permitan la identificación de nuevos controles que mitigen los risgos  del personas que trabaja a compo abierto."/>
    <x v="3"/>
    <x v="5"/>
  </r>
  <r>
    <x v="0"/>
    <x v="22"/>
    <s v="D1. No se cuenta con una herramienta sistematizada que nos permita hacer el seguimiento a Graduados, en su vida laboral y académica."/>
    <x v="0"/>
    <x v="35"/>
  </r>
  <r>
    <x v="0"/>
    <x v="22"/>
    <s v="D2. No poder hacer contacto directo con los graduados por medio de correos electrónicos ni telefónico por políticas de privacidad"/>
    <x v="0"/>
    <x v="12"/>
  </r>
  <r>
    <x v="0"/>
    <x v="22"/>
    <s v="D3. No se cuenta con indicadores que nos permitan identificar la actualidad laboral y académica de los Graduados "/>
    <x v="3"/>
    <x v="34"/>
  </r>
  <r>
    <x v="0"/>
    <x v="22"/>
    <s v="D4. Generar mas  recursos económicos para los diferentes eventos planeados por la oficina de Graduados. "/>
    <x v="2"/>
    <x v="15"/>
  </r>
  <r>
    <x v="0"/>
    <x v="22"/>
    <s v="D5. Baja participación de docentes encargados del seguimiento a graduados en los diferentes programas académicos de la universidad "/>
    <x v="1"/>
    <x v="6"/>
  </r>
  <r>
    <x v="0"/>
    <x v="22"/>
    <s v="D6. Falta de comunicación con todos los programas académicos para la generación de talleres y conferencias."/>
    <x v="0"/>
    <x v="12"/>
  </r>
  <r>
    <x v="0"/>
    <x v="22"/>
    <s v="D7. Personal insuficiente para sede, extensiones y seccionales para las actividades relacionadas al proceso "/>
    <x v="1"/>
    <x v="8"/>
  </r>
  <r>
    <x v="0"/>
    <x v="22"/>
    <s v="D8. Mecanismos deficientes para realizar la actualización y seguimiento de la información de los graduados oportunamente. "/>
    <x v="4"/>
    <x v="10"/>
  </r>
  <r>
    <x v="0"/>
    <x v="22"/>
    <s v="D9. No identificación oportuna de la normatividades legales aplicables al proceso."/>
    <x v="0"/>
    <x v="25"/>
  </r>
  <r>
    <x v="0"/>
    <x v="22"/>
    <s v="D10. No se cuenta con una articulación de la Universidad Cundinamarca  y los graduados para  continuar con los programas de investigación."/>
    <x v="0"/>
    <x v="0"/>
  </r>
  <r>
    <x v="0"/>
    <x v="22"/>
    <s v="D11. No considerar  a los graduados en condición de discapacidad en la planeación y realización de  los eventos. "/>
    <x v="2"/>
    <x v="15"/>
  </r>
  <r>
    <x v="0"/>
    <x v="22"/>
    <s v="D12. No actualizar de manera oportuna los cambios a la  planificación de los eventos frente a situaciones de contingencia. Hallazgos 25-26"/>
    <x v="2"/>
    <x v="15"/>
  </r>
  <r>
    <x v="1"/>
    <x v="0"/>
    <s v="F1. Construcción y Disponibilidad de información estadística. "/>
    <x v="0"/>
    <x v="17"/>
  </r>
  <r>
    <x v="1"/>
    <x v="0"/>
    <s v="F2. Promoción y divulgación de los programas en la Universidad de manera virtual. "/>
    <x v="0"/>
    <x v="40"/>
  </r>
  <r>
    <x v="1"/>
    <x v="0"/>
    <s v="F3. Aplicativo informático Academusoft y los desarrollos informáticos que sistematiza la operatividad del proceso"/>
    <x v="4"/>
    <x v="19"/>
  </r>
  <r>
    <x v="1"/>
    <x v="0"/>
    <s v="F4. Se cuenta con backups para la seguridad y trazabilidad de la información."/>
    <x v="4"/>
    <x v="19"/>
  </r>
  <r>
    <x v="1"/>
    <x v="0"/>
    <s v="F5. Se panifican las actividades del proceso mediante el calendario académico"/>
    <x v="2"/>
    <x v="15"/>
  </r>
  <r>
    <x v="1"/>
    <x v="0"/>
    <s v="F6. Se cuenta con indicadores que miden la gestión del proceso -  Se toman acciones de mejora frente a los resultados de la medición de los indicadores del SGC"/>
    <x v="3"/>
    <x v="34"/>
  </r>
  <r>
    <x v="1"/>
    <x v="0"/>
    <s v="F7. Personal suficiente para cumplir con los objetivos del proceso"/>
    <x v="1"/>
    <x v="8"/>
  </r>
  <r>
    <x v="1"/>
    <x v="0"/>
    <s v="F8. Se aplica los procesos de selección a aspirantes vulnerables, se asegura el 1% de ingreso a los aspirantes de los municipios de difícil acceso"/>
    <x v="0"/>
    <x v="18"/>
  </r>
  <r>
    <x v="1"/>
    <x v="0"/>
    <s v="F9. Se fortalece el desarrollo de la Translocalidad en el proceso, se participa en ferias universitarias cuando son programadas y efectuadas"/>
    <x v="2"/>
    <x v="31"/>
  </r>
  <r>
    <x v="1"/>
    <x v="1"/>
    <s v="F1. Sistema de Gestión Bibliotecaria"/>
    <x v="4"/>
    <x v="19"/>
  </r>
  <r>
    <x v="1"/>
    <x v="1"/>
    <s v="F2. Sistemas de producción acordes con la preservación del medio ambiente, que permiten el desarrollo de la ciencia tecnología e innovación (Granja La Esperanza)"/>
    <x v="0"/>
    <x v="41"/>
  </r>
  <r>
    <x v="1"/>
    <x v="1"/>
    <s v="F3. Actualización e innovación permanente de los servicios bibliotecarios"/>
    <x v="0"/>
    <x v="41"/>
  </r>
  <r>
    <x v="1"/>
    <x v="1"/>
    <s v="F4. Servicios en línea orientados a dar respuestas oportunas a la necesidades de la comunidad académica  (Aplicativos que optimizan la operatividad del proceso y garantizan un eficiente servicio a las partes interesadas.)"/>
    <x v="4"/>
    <x v="19"/>
  </r>
  <r>
    <x v="1"/>
    <x v="1"/>
    <s v="F5. Acciones encaminadas al cumplimiento de la política de inclusión: Tips de comunicación asertiva inclusiva en braille en seccionales y extensiones - encuesta de inclusión en página web institucional. "/>
    <x v="0"/>
    <x v="18"/>
  </r>
  <r>
    <x v="1"/>
    <x v="1"/>
    <s v="F6. Calidad en la prestación del servicio hacia las partes interesadas. "/>
    <x v="2"/>
    <x v="30"/>
  </r>
  <r>
    <x v="1"/>
    <x v="1"/>
    <s v="F7. Biblioteca nueva - sede Fusagasugá que acoge las necesidades de la comunidad universitaria y se alinea a la política de inclusión (movilidad)"/>
    <x v="4"/>
    <x v="9"/>
  </r>
  <r>
    <x v="1"/>
    <x v="1"/>
    <s v="F8.  Implementación de estrategias como apoyo a los estudiantes (préstamo de equipos)"/>
    <x v="2"/>
    <x v="4"/>
  </r>
  <r>
    <x v="1"/>
    <x v="2"/>
    <s v="F1:Competencia del personal que integra el proceso."/>
    <x v="1"/>
    <x v="16"/>
  </r>
  <r>
    <x v="1"/>
    <x v="2"/>
    <s v="F2: Documentos internos que soportan los procesos de registro calificado, condiciones iniciales de acreditación de programas y ejercicios de autoevaluación"/>
    <x v="0"/>
    <x v="29"/>
  </r>
  <r>
    <x v="1"/>
    <x v="2"/>
    <s v="F3: Estrategias metodológicas para dar a conocer a la comunidad académica la normatividad, documentos, guías y formatos entre otros del  MEN y CNA."/>
    <x v="2"/>
    <x v="4"/>
  </r>
  <r>
    <x v="1"/>
    <x v="2"/>
    <s v="F4: Reconocimiento a nivel de plan estratégico y modelo de operación al proceso de autoevaluación y acreditación."/>
    <x v="2"/>
    <x v="15"/>
  </r>
  <r>
    <x v="1"/>
    <x v="2"/>
    <s v="F5: Ambiente de trabajo agradable y armónico. "/>
    <x v="7"/>
    <x v="42"/>
  </r>
  <r>
    <x v="1"/>
    <x v="2"/>
    <s v="F6: Liderazgo funcional por parte del Gestor responsable."/>
    <x v="2"/>
    <x v="7"/>
  </r>
  <r>
    <x v="1"/>
    <x v="2"/>
    <s v="F7. Seguimiento estricto a los lineamientos del MEN y CNA"/>
    <x v="3"/>
    <x v="5"/>
  </r>
  <r>
    <x v="1"/>
    <x v="2"/>
    <s v="F8. Cumplimiento y compromiso con las actividades del proceso"/>
    <x v="1"/>
    <x v="38"/>
  </r>
  <r>
    <x v="1"/>
    <x v="2"/>
    <s v="F9. Adecuación de espacios y equipos para el desarrollo de actividades"/>
    <x v="4"/>
    <x v="9"/>
  </r>
  <r>
    <x v="1"/>
    <x v="2"/>
    <s v="F10. Digitalización en las actividades del proceso"/>
    <x v="0"/>
    <x v="35"/>
  </r>
  <r>
    <x v="1"/>
    <x v="2"/>
    <s v="F11. Documentación publica, actual y veraz"/>
    <x v="0"/>
    <x v="29"/>
  </r>
  <r>
    <x v="1"/>
    <x v="2"/>
    <s v="F12. Backups de la información"/>
    <x v="0"/>
    <x v="35"/>
  </r>
  <r>
    <x v="1"/>
    <x v="2"/>
    <s v="F13. Respuesta oportuna y clara a procesos internos y externos"/>
    <x v="0"/>
    <x v="40"/>
  </r>
  <r>
    <x v="1"/>
    <x v="2"/>
    <s v="F14. Planificación de las actividades a realizar durante el semestre acorde con las diferentes partes interesadas involucradas en los procesos de Autoevaluación y Acreditación"/>
    <x v="2"/>
    <x v="15"/>
  </r>
  <r>
    <x v="1"/>
    <x v="2"/>
    <s v="F15. Actualización periódica normativa aplicable al proceso"/>
    <x v="0"/>
    <x v="25"/>
  </r>
  <r>
    <x v="1"/>
    <x v="2"/>
    <s v="F16. Los indicadores reflejan el desempeño del proceso y aportan al cumplimiento del plan rectoral y el plan estratégico"/>
    <x v="3"/>
    <x v="34"/>
  </r>
  <r>
    <x v="1"/>
    <x v="2"/>
    <s v="F17. Oferta de pasantías y monitorias para el apoyo de las actividades"/>
    <x v="1"/>
    <x v="27"/>
  </r>
  <r>
    <x v="1"/>
    <x v="2"/>
    <s v="F18. Implementación de la Escuela de Formación y Aprendizaje Docente"/>
    <x v="0"/>
    <x v="18"/>
  </r>
  <r>
    <x v="1"/>
    <x v="2"/>
    <s v="F19. Amplio conocimiento y apoyo en los procesos de resignificación curricular de los programas académicos"/>
    <x v="1"/>
    <x v="16"/>
  </r>
  <r>
    <x v="1"/>
    <x v="2"/>
    <s v="F20. Modulo de Aseguramiento de la Calidad Educativa"/>
    <x v="4"/>
    <x v="19"/>
  </r>
  <r>
    <x v="1"/>
    <x v="2"/>
    <s v="F21. Se cuenta con un alto porcentaje de participación de la comunidad académica en los procesos de autoevaluación y las encuestas de percepción"/>
    <x v="1"/>
    <x v="27"/>
  </r>
  <r>
    <x v="1"/>
    <x v="2"/>
    <s v="F22. El proceso cuenta con el personal requerido acorde con las necesidades y actividades que se desarrollan"/>
    <x v="1"/>
    <x v="8"/>
  </r>
  <r>
    <x v="1"/>
    <x v="2"/>
    <s v="F23. Se fortalecen los procesos de capacitación y aprendizaje continuo en temas afines del proceso mediante las redes en las cuales tiene presencia la Universidad (Por ejemplo: FODESEP)"/>
    <x v="1"/>
    <x v="32"/>
  </r>
  <r>
    <x v="1"/>
    <x v="2"/>
    <s v="F24. Apropiación del concepto transhumanidad mediante el MEDIT"/>
    <x v="1"/>
    <x v="6"/>
  </r>
  <r>
    <x v="1"/>
    <x v="2"/>
    <s v="F25. La asignación del rubro presupuestal es apta para el desarrollo las actividades"/>
    <x v="5"/>
    <x v="11"/>
  </r>
  <r>
    <x v="1"/>
    <x v="2"/>
    <s v="F26. Se asegura la gestión del conocimiento con todos los integrantes del proceso"/>
    <x v="1"/>
    <x v="2"/>
  </r>
  <r>
    <x v="1"/>
    <x v="2"/>
    <s v="F27. Proceso de resignificación curricular y autoevaluación con la apropiación del concepto transmodernidad"/>
    <x v="0"/>
    <x v="18"/>
  </r>
  <r>
    <x v="1"/>
    <x v="2"/>
    <s v="F28. Documentos que soporten la proyección de nueva oferta académica en la institución"/>
    <x v="0"/>
    <x v="29"/>
  </r>
  <r>
    <x v="1"/>
    <x v="2"/>
    <s v="F29. Identificación e implementación de estrategias que permitan la acreditación en alta calidad y la acreditación institucional"/>
    <x v="2"/>
    <x v="15"/>
  </r>
  <r>
    <x v="1"/>
    <x v="3"/>
    <s v="F1. Los lineamientos y normas legales se actualizan periódicamente y se les da cumplimiento en las prácticas del proceso."/>
    <x v="0"/>
    <x v="25"/>
  </r>
  <r>
    <x v="1"/>
    <x v="3"/>
    <s v="F2. Implementación de  Tecnologías de la Información en los procesos"/>
    <x v="4"/>
    <x v="19"/>
  </r>
  <r>
    <x v="1"/>
    <x v="3"/>
    <s v="F3. Se tiene en cuenta la oferta de pasantes para el apoyo de las actividades operativas de algunas áreas del proceso"/>
    <x v="1"/>
    <x v="27"/>
  </r>
  <r>
    <x v="1"/>
    <x v="3"/>
    <s v="F4. Desarrollo de programas  de bienestar laboral  que brindan  un ambiente laboral adecuado para el desarrollo de las actividades."/>
    <x v="7"/>
    <x v="42"/>
  </r>
  <r>
    <x v="1"/>
    <x v="3"/>
    <s v="F5. Colaboradores comprometidos con el proceso y las mejoras que se deban implementar."/>
    <x v="1"/>
    <x v="6"/>
  </r>
  <r>
    <x v="1"/>
    <x v="3"/>
    <s v="F6. Baja rotación laboral  permitiendo la continuidad en el desarrollo de las actividades."/>
    <x v="1"/>
    <x v="43"/>
  </r>
  <r>
    <x v="1"/>
    <x v="3"/>
    <s v="F7. Se realiza mantenimiento preventivo y/o correctivo de los elementos que dispone el proceso. (Mobiliario, Equipos de cómputo, Internet, etc.)"/>
    <x v="4"/>
    <x v="44"/>
  </r>
  <r>
    <x v="1"/>
    <x v="3"/>
    <s v="F9. Canales de comunicación claramente establecidos y definidos para el desarollo de las actividades."/>
    <x v="0"/>
    <x v="40"/>
  </r>
  <r>
    <x v="1"/>
    <x v="3"/>
    <s v="F9. Constante actualización de procedimientos y formatos del proceso."/>
    <x v="0"/>
    <x v="29"/>
  </r>
  <r>
    <x v="1"/>
    <x v="3"/>
    <s v="F10. Estricta sujeción a las normas establecidas en materia de contratación   (Manual de Contratación, Estatuto de Contratación)"/>
    <x v="0"/>
    <x v="25"/>
  </r>
  <r>
    <x v="1"/>
    <x v="3"/>
    <s v="F11. Existen indicadores para medir la eficacia y eficiencia del proceso, los cuales se miden de manera objetiva para tomar las acciones necesarias que permitan obtener los resultados previstos y aportar al logro de los objetivos institucionales."/>
    <x v="3"/>
    <x v="34"/>
  </r>
  <r>
    <x v="1"/>
    <x v="3"/>
    <s v="F12. Existe retroalimentación de las conclusiones al análisis de los indicadores para la formulación o reformulación de los planes de mejora."/>
    <x v="3"/>
    <x v="34"/>
  </r>
  <r>
    <x v="1"/>
    <x v="3"/>
    <s v="F13. Se asegura por medio de mesas de trabajo la gestión del conocimiento al interior del proceso."/>
    <x v="1"/>
    <x v="2"/>
  </r>
  <r>
    <x v="1"/>
    <x v="3"/>
    <s v="F14. Existe y se conoce el direccionamiento estratégico de la universidad."/>
    <x v="2"/>
    <x v="4"/>
  </r>
  <r>
    <x v="1"/>
    <x v="3"/>
    <s v="F15. Se aplican diversas políticas y estrategias institucionales al interior del proceso, con el fin de aportar a la Alta Dirección en el logro de los objetivos previstos"/>
    <x v="2"/>
    <x v="4"/>
  </r>
  <r>
    <x v="1"/>
    <x v="3"/>
    <s v="F16. Personal altamente calificado en las áreas que componen el proceso"/>
    <x v="1"/>
    <x v="16"/>
  </r>
  <r>
    <x v="1"/>
    <x v="3"/>
    <s v="F17. Planificacion de las actividads de contratacion para la universidadd por medio del Plan Anual de Adquisiciones lo que permite asegurar los recursos necesarios con tiempo y promover la ejecucion oportuna de los proyectos que se establecen "/>
    <x v="2"/>
    <x v="15"/>
  </r>
  <r>
    <x v="1"/>
    <x v="23"/>
    <s v="F1. Equipo de trabajo competente y disponible para el desarrollo de las actividades"/>
    <x v="1"/>
    <x v="16"/>
  </r>
  <r>
    <x v="1"/>
    <x v="23"/>
    <s v="F2. La articulación del proceso con las políticas misionales encaminadas al desarrollo institucional (Ciencia, Tecnología e Investigación, Dialogando con el Mundo, Interacción Social Universitaria, Inclusión entre otras)"/>
    <x v="0"/>
    <x v="0"/>
  </r>
  <r>
    <x v="1"/>
    <x v="23"/>
    <s v="F3. Campañas de Promoción y Prevención para la Comunidad Universitaria"/>
    <x v="0"/>
    <x v="40"/>
  </r>
  <r>
    <x v="1"/>
    <x v="23"/>
    <s v="F4. Aplicación de estrategias por parte del proceso, dirigidas a abordar temas relacionados con la Inclusión en la Institución"/>
    <x v="2"/>
    <x v="4"/>
  </r>
  <r>
    <x v="1"/>
    <x v="23"/>
    <s v="F5. Plataforma SIPSE"/>
    <x v="4"/>
    <x v="19"/>
  </r>
  <r>
    <x v="1"/>
    <x v="23"/>
    <s v="F6. El proceso desarrolla acciones que aportan a la transformación del ser humano, a ser mejores personas y poder trabajar de la mano con los demás"/>
    <x v="7"/>
    <x v="42"/>
  </r>
  <r>
    <x v="1"/>
    <x v="23"/>
    <s v="F7. Programas de Formación Integral que brindan al estudiante la posibilidad de mejorar su calidad de vida universitaria mediante actividades de interés ."/>
    <x v="0"/>
    <x v="41"/>
  </r>
  <r>
    <x v="1"/>
    <x v="23"/>
    <s v="F8. Desarrollo de programas  de bienestar laboral  que brindan  un ambiente propicio para el desarrollo de las actividades."/>
    <x v="7"/>
    <x v="42"/>
  </r>
  <r>
    <x v="1"/>
    <x v="23"/>
    <s v="F9.  Funciones designadas de manera equilibrada para cada puesto de trabajo estableciendo roles , responsabilidades y perfil del personal contratado."/>
    <x v="1"/>
    <x v="38"/>
  </r>
  <r>
    <x v="1"/>
    <x v="23"/>
    <s v="F10. Se asegura oportunamente la Gestión del Conocimiento al interior del proceso."/>
    <x v="1"/>
    <x v="2"/>
  </r>
  <r>
    <x v="1"/>
    <x v="23"/>
    <s v="F11. Canales de comunicación claramente establecidos y asertivos para el desarollo de las actividades."/>
    <x v="0"/>
    <x v="40"/>
  </r>
  <r>
    <x v="1"/>
    <x v="23"/>
    <s v="F12. La normatividad aplicable al proceso se conoce y es actualizada periodicamente."/>
    <x v="0"/>
    <x v="25"/>
  </r>
  <r>
    <x v="1"/>
    <x v="23"/>
    <s v="F13. Cumplimiento  y ejecución a las actividades de acuerdo a los requisitos e información  contemplad en los procedimientos y documentos del proceso."/>
    <x v="0"/>
    <x v="18"/>
  </r>
  <r>
    <x v="1"/>
    <x v="23"/>
    <s v="F14. El proceso opera de manera articulada al logro de  los objetivos institucionales."/>
    <x v="0"/>
    <x v="0"/>
  </r>
  <r>
    <x v="1"/>
    <x v="23"/>
    <s v="F15. Existe retroalimentación de las conclusiones al análisis de los indicadores para la formulación o reformulación de los planes de mejora interna del proceso."/>
    <x v="3"/>
    <x v="34"/>
  </r>
  <r>
    <x v="1"/>
    <x v="23"/>
    <s v="F16. Las actividades a realizar en el proceso durante el semestre son planificadas."/>
    <x v="2"/>
    <x v="15"/>
  </r>
  <r>
    <x v="1"/>
    <x v="23"/>
    <s v="F17. Interes por parte de los Directores de Programa y Decanos para apoyar las actividades planteadas"/>
    <x v="1"/>
    <x v="6"/>
  </r>
  <r>
    <x v="1"/>
    <x v="5"/>
    <s v="F1 - Implementación y aplicación de Políticas y normatividades legales dentro del desarrollo del Proceso"/>
    <x v="0"/>
    <x v="25"/>
  </r>
  <r>
    <x v="1"/>
    <x v="5"/>
    <s v="F2 - Infraestructura tecnológica"/>
    <x v="4"/>
    <x v="19"/>
  </r>
  <r>
    <x v="1"/>
    <x v="5"/>
    <s v="F3 - Relaciones de la Universidad con la Sociedad"/>
    <x v="2"/>
    <x v="30"/>
  </r>
  <r>
    <x v="1"/>
    <x v="5"/>
    <s v="F4 - Convenios internacionales"/>
    <x v="2"/>
    <x v="45"/>
  </r>
  <r>
    <x v="1"/>
    <x v="5"/>
    <s v="F5 - Oficina de interacción universitaria  facilitadora de socialización y apropiación del conocimiento de los resultados de investigación por parte de los usuarios."/>
    <x v="1"/>
    <x v="6"/>
  </r>
  <r>
    <x v="1"/>
    <x v="5"/>
    <s v="F6 - Espacio de Investigación en el portal web de la Universidad de Cundinamarca. "/>
    <x v="4"/>
    <x v="19"/>
  </r>
  <r>
    <x v="1"/>
    <x v="5"/>
    <s v="F7 - Modulo de Proyectos de Investigación en la plataforma institucional"/>
    <x v="4"/>
    <x v="19"/>
  </r>
  <r>
    <x v="1"/>
    <x v="5"/>
    <s v="F8 - Gestión Documental al día y organizada"/>
    <x v="0"/>
    <x v="29"/>
  </r>
  <r>
    <x v="1"/>
    <x v="5"/>
    <s v="F9 - Trazabilidad de las convocatorias y proyectos de investigación"/>
    <x v="3"/>
    <x v="46"/>
  </r>
  <r>
    <x v="1"/>
    <x v="5"/>
    <s v="F10 - Personal administrativo competente para las actividades de Investigación "/>
    <x v="1"/>
    <x v="16"/>
  </r>
  <r>
    <x v="1"/>
    <x v="5"/>
    <s v="F11 - Convocatorias permanentes de Proyectos de Investigación internas."/>
    <x v="2"/>
    <x v="45"/>
  </r>
  <r>
    <x v="1"/>
    <x v="5"/>
    <s v="F12 - Disponibilidad de recursos económicos para la transferencia de resultados"/>
    <x v="5"/>
    <x v="28"/>
  </r>
  <r>
    <x v="1"/>
    <x v="5"/>
    <s v="F13 - Prestigio conseguido por la universidad por su liderazgo cultural y su compromiso social"/>
    <x v="2"/>
    <x v="31"/>
  </r>
  <r>
    <x v="1"/>
    <x v="5"/>
    <s v="F14 - Presencia privilegiada de la universidad en las regiones del Departamento"/>
    <x v="2"/>
    <x v="31"/>
  </r>
  <r>
    <x v="1"/>
    <x v="5"/>
    <s v="F15 - Instalaciones deportivas que facilitan la investigación en la formación de deportistas de alto rendimiento"/>
    <x v="4"/>
    <x v="9"/>
  </r>
  <r>
    <x v="1"/>
    <x v="5"/>
    <s v="F16. Reconocimiento y categorización de los grupos de investigación por Minciencias."/>
    <x v="2"/>
    <x v="31"/>
  </r>
  <r>
    <x v="1"/>
    <x v="5"/>
    <s v="F17 - El incremento de los Investigadores categorizados por Minciencias."/>
    <x v="1"/>
    <x v="16"/>
  </r>
  <r>
    <x v="1"/>
    <x v="5"/>
    <s v="F18 - Se cuenta con investigadores y coordinadores de investigación para cada una de la sede, seccionales y extensiones de la Universidad de Cundinamarca. "/>
    <x v="1"/>
    <x v="8"/>
  </r>
  <r>
    <x v="1"/>
    <x v="5"/>
    <s v="F19 - Roles, responsabilidades y autoridades establecidas dentro del proceso."/>
    <x v="1"/>
    <x v="38"/>
  </r>
  <r>
    <x v="1"/>
    <x v="5"/>
    <s v="F20 - Bienestar laboral propicio para el personal administrativo."/>
    <x v="7"/>
    <x v="42"/>
  </r>
  <r>
    <x v="1"/>
    <x v="5"/>
    <s v="F21 - Información y documentación disponible, segura, confiable, actualizada y verificable "/>
    <x v="0"/>
    <x v="29"/>
  </r>
  <r>
    <x v="1"/>
    <x v="5"/>
    <s v="F22 - Indicadores establecidos para medir los resultados de la  gestión "/>
    <x v="3"/>
    <x v="34"/>
  </r>
  <r>
    <x v="1"/>
    <x v="5"/>
    <s v="F23 - Planificación de actividades a realizar en el semestre"/>
    <x v="2"/>
    <x v="15"/>
  </r>
  <r>
    <x v="1"/>
    <x v="5"/>
    <s v="F24 - Se cuenta con un mecanismo que permite el reconocimiento y estímulo económico para profesores y estudiantes que participen en proyectos."/>
    <x v="5"/>
    <x v="28"/>
  </r>
  <r>
    <x v="1"/>
    <x v="5"/>
    <s v="F25- Implementación del Fondo Ciencia, Tecnología e Innovación. "/>
    <x v="2"/>
    <x v="31"/>
  </r>
  <r>
    <x v="1"/>
    <x v="5"/>
    <s v="F26- Trabajo colaborativo para el cumplimiento de las actividades propuestas. "/>
    <x v="1"/>
    <x v="38"/>
  </r>
  <r>
    <x v="1"/>
    <x v="6"/>
    <s v="F1 :La oficina de comunicaciones cuenta con una infraestructura física adecuada en lo que se refiere a espacios e iluminación."/>
    <x v="4"/>
    <x v="9"/>
  </r>
  <r>
    <x v="1"/>
    <x v="6"/>
    <s v="F2: Equipo humano competente con las exigencias actuales para producir contenido de calidad"/>
    <x v="1"/>
    <x v="16"/>
  </r>
  <r>
    <x v="1"/>
    <x v="6"/>
    <s v="F3: Uso de varios recursos de comunicación (web, intranet, correos masivos, redes sociales, carteleras digitales, periódico, producción audiovisual)"/>
    <x v="4"/>
    <x v="19"/>
  </r>
  <r>
    <x v="1"/>
    <x v="6"/>
    <s v="F4: Aplicación institucional para la gestión de las solicitudes internas de comunicación."/>
    <x v="4"/>
    <x v="19"/>
  </r>
  <r>
    <x v="1"/>
    <x v="6"/>
    <s v="F5: Variedad de servicios con el fin de satisfacer las necesidades de comunicación del usuario interno( producción audiovisual, cubrimiento de eventos, relacionamiento con los medios de comunicación)"/>
    <x v="4"/>
    <x v="44"/>
  </r>
  <r>
    <x v="1"/>
    <x v="6"/>
    <s v="F6. Portal institucional actualizado (programas de pregrado y posgrados, cursos de educación continuada e información de interés de la institución) con base en las necesidades de información de los grupos de interés (estudiantes, docentes, administrativos, graduados, etc.)"/>
    <x v="4"/>
    <x v="19"/>
  </r>
  <r>
    <x v="1"/>
    <x v="6"/>
    <s v="F7: Cumplimiento de requisitos legales en el portal web (acceso a la información pública)"/>
    <x v="0"/>
    <x v="25"/>
  </r>
  <r>
    <x v="1"/>
    <x v="6"/>
    <s v="F8. El portal institucional tiene alrededor de 9 millones de visitas (Datos de la vigencia 2020)"/>
    <x v="3"/>
    <x v="22"/>
  </r>
  <r>
    <x v="1"/>
    <x v="6"/>
    <s v="F9. Apropiación de la herramienta SIS para los requerimientos de servicios brindados por la oficina asesora de comunicaciones."/>
    <x v="4"/>
    <x v="19"/>
  </r>
  <r>
    <x v="1"/>
    <x v="6"/>
    <s v="F10: Aceptación y acogida del material que se produce en la oficina"/>
    <x v="1"/>
    <x v="6"/>
  </r>
  <r>
    <x v="1"/>
    <x v="6"/>
    <s v="F11. Planificación y designación de actividades conforme con los diferentes perfiles profesionales con los que cuenta la Oficina Asesora de Comunicaciones"/>
    <x v="1"/>
    <x v="38"/>
  </r>
  <r>
    <x v="1"/>
    <x v="6"/>
    <s v="F12. Se generan ambientes que fomentan el respeto y aprendizaje continuo dentro del proceso"/>
    <x v="7"/>
    <x v="42"/>
  </r>
  <r>
    <x v="1"/>
    <x v="6"/>
    <s v="F13. Se realizan backups de la información para la conservación del material digital y las actividades operativas del proceso"/>
    <x v="0"/>
    <x v="17"/>
  </r>
  <r>
    <x v="1"/>
    <x v="6"/>
    <s v="F14. Respuesta oportuna en las actividades y solicitudes del proceso"/>
    <x v="0"/>
    <x v="1"/>
  </r>
  <r>
    <x v="1"/>
    <x v="6"/>
    <s v="F15.Los indicadores reflejan el desempeño del proceso y aportan al cumplimiento del plan rectoral y el plan estratégico"/>
    <x v="3"/>
    <x v="34"/>
  </r>
  <r>
    <x v="1"/>
    <x v="6"/>
    <s v="F16. Divulgación de las políticas institucionales en los medios de comunicación de la institución"/>
    <x v="0"/>
    <x v="40"/>
  </r>
  <r>
    <x v="1"/>
    <x v="6"/>
    <s v="F17. Creación de contenido enfocado en sensibilizar e informar a los estudiantes sobre el desempeño institucional, temas culturales e internacionales"/>
    <x v="0"/>
    <x v="40"/>
  </r>
  <r>
    <x v="1"/>
    <x v="6"/>
    <s v="F18. Desarrollo de micro sitios para las dependencias con el objetivo de generar mayor visibilidad en las actividades"/>
    <x v="4"/>
    <x v="19"/>
  </r>
  <r>
    <x v="1"/>
    <x v="6"/>
    <s v="F19. Producción de contenido radial y visual a toda la comunidad universitaria con enfoque inclusivo "/>
    <x v="0"/>
    <x v="40"/>
  </r>
  <r>
    <x v="1"/>
    <x v="6"/>
    <s v="F20. Se cuenta con gestores que apoyan las actividades del proceso en seccionales y extensiones"/>
    <x v="1"/>
    <x v="8"/>
  </r>
  <r>
    <x v="1"/>
    <x v="8"/>
    <s v="F1. Recurso Humano idóneo en conocimiento y actualización de saberes propios de implicación directa con las funciones de la oficina. "/>
    <x v="1"/>
    <x v="16"/>
  </r>
  <r>
    <x v="1"/>
    <x v="8"/>
    <s v="F2. Recurso económico suficiente para las actividades de la oficina."/>
    <x v="5"/>
    <x v="11"/>
  </r>
  <r>
    <x v="1"/>
    <x v="8"/>
    <s v="F3. Criterio jurídico, asertivo y objetivo."/>
    <x v="1"/>
    <x v="16"/>
  </r>
  <r>
    <x v="1"/>
    <x v="8"/>
    <s v="F4. Procedimientos documentados."/>
    <x v="0"/>
    <x v="29"/>
  </r>
  <r>
    <x v="1"/>
    <x v="8"/>
    <s v="F5. Herramientas tecnológicas suficientes para el cumplimiento dela función. "/>
    <x v="4"/>
    <x v="19"/>
  </r>
  <r>
    <x v="1"/>
    <x v="8"/>
    <s v="F6. Se han desarrollado procesos de capacitación en temas generales de bienestar y operativos para la planta administrativa de la Universidad de Cundinamarca."/>
    <x v="1"/>
    <x v="32"/>
  </r>
  <r>
    <x v="1"/>
    <x v="8"/>
    <s v="F7. Se delegan funciones y se propicia un buen clima de trabajo."/>
    <x v="1"/>
    <x v="38"/>
  </r>
  <r>
    <x v="1"/>
    <x v="8"/>
    <s v="F8. Se realiza mantenimiento preventivo a los equipos de la oficina."/>
    <x v="4"/>
    <x v="21"/>
  </r>
  <r>
    <x v="1"/>
    <x v="8"/>
    <s v="F9. Se cuenta con canales claros de comunicación."/>
    <x v="0"/>
    <x v="40"/>
  </r>
  <r>
    <x v="1"/>
    <x v="8"/>
    <s v="F10. Los métodos de contratación y compras de la universidad son pertinentes."/>
    <x v="0"/>
    <x v="39"/>
  </r>
  <r>
    <x v="1"/>
    <x v="8"/>
    <s v="F11. Existe un indicador que mide la eficacia y eficiencia de los procesos de la Direccion."/>
    <x v="3"/>
    <x v="34"/>
  </r>
  <r>
    <x v="1"/>
    <x v="8"/>
    <s v="F12. En el proceso se promueve el bienestar laboral / hábitos saludables."/>
    <x v="7"/>
    <x v="42"/>
  </r>
  <r>
    <x v="1"/>
    <x v="8"/>
    <s v="F.13 Se cuenta con metas claras y precisas para el cumplimiento del plan estratégico"/>
    <x v="2"/>
    <x v="15"/>
  </r>
  <r>
    <x v="1"/>
    <x v="8"/>
    <s v="F.14 Se actualizan periódicamente los requisitos legales aplicables al proceso. "/>
    <x v="0"/>
    <x v="25"/>
  </r>
  <r>
    <x v="1"/>
    <x v="8"/>
    <s v="F15. Se cuenta con una página web propia de la Dirección de Control Interno Disciplinario para la publicación de comunicaciones, notificaciones, o alguna otra información de interés. "/>
    <x v="0"/>
    <x v="40"/>
  </r>
  <r>
    <x v="1"/>
    <x v="9"/>
    <s v="F1. Liderazgo del Gestor Responsable."/>
    <x v="2"/>
    <x v="7"/>
  </r>
  <r>
    <x v="1"/>
    <x v="9"/>
    <s v="F2. Equipo de Trabajo Multidisciplinario."/>
    <x v="1"/>
    <x v="16"/>
  </r>
  <r>
    <x v="1"/>
    <x v="9"/>
    <s v="F3. Buen clima Organizacional."/>
    <x v="7"/>
    <x v="42"/>
  </r>
  <r>
    <x v="1"/>
    <x v="9"/>
    <s v="F4. Adaptación al cambio."/>
    <x v="0"/>
    <x v="13"/>
  </r>
  <r>
    <x v="1"/>
    <x v="9"/>
    <s v="F5. Mayor cobertura en el desarrollo de actividades de los Procesos."/>
    <x v="2"/>
    <x v="30"/>
  </r>
  <r>
    <x v="1"/>
    <x v="9"/>
    <s v="F6. Mayor utilización de los medios de Comunicación de la Universidad."/>
    <x v="0"/>
    <x v="40"/>
  </r>
  <r>
    <x v="1"/>
    <x v="9"/>
    <s v="F7. Los profesionales de la oficina tiene mayor empoderamiento debido al fortalecimiento de las competencias."/>
    <x v="1"/>
    <x v="16"/>
  </r>
  <r>
    <x v="1"/>
    <x v="9"/>
    <s v="F8. Cultura de trabajo enfocada a resultados."/>
    <x v="2"/>
    <x v="7"/>
  </r>
  <r>
    <x v="1"/>
    <x v="9"/>
    <s v="F9. Claridad de los objetivos funciones y responsabilidades acorde a los perfiles."/>
    <x v="1"/>
    <x v="38"/>
  </r>
  <r>
    <x v="1"/>
    <x v="9"/>
    <s v="F10. Aplicativo institucional para  planificación y control de actividades de la oficina."/>
    <x v="4"/>
    <x v="19"/>
  </r>
  <r>
    <x v="1"/>
    <x v="9"/>
    <s v="F11. Documentación del proceso publicada, divulgada, actualizada y veraz."/>
    <x v="0"/>
    <x v="29"/>
  </r>
  <r>
    <x v="1"/>
    <x v="9"/>
    <s v="F12. Respuesta oportuna, clara y veraz a los diferentes procesos internos y externos."/>
    <x v="0"/>
    <x v="40"/>
  </r>
  <r>
    <x v="1"/>
    <x v="9"/>
    <s v="F13. Pasantes para el apoyo de las actividades de la oficina."/>
    <x v="1"/>
    <x v="27"/>
  </r>
  <r>
    <x v="1"/>
    <x v="9"/>
    <s v="F14. Se Implementa la ejecución de auditorias remotas."/>
    <x v="0"/>
    <x v="18"/>
  </r>
  <r>
    <x v="1"/>
    <x v="9"/>
    <s v="F15. Gestión de conocimiento especializado."/>
    <x v="1"/>
    <x v="2"/>
  </r>
  <r>
    <x v="1"/>
    <x v="10"/>
    <s v="F1. Amplio portafolio de servicios educativos. "/>
    <x v="2"/>
    <x v="45"/>
  </r>
  <r>
    <x v="1"/>
    <x v="10"/>
    <s v="F2. Independencia del proceso de contratación de la Universidad."/>
    <x v="0"/>
    <x v="41"/>
  </r>
  <r>
    <x v="1"/>
    <x v="10"/>
    <s v="F3. Relacionamiento favorable de los líderes del proceso con las entidades externas."/>
    <x v="2"/>
    <x v="30"/>
  </r>
  <r>
    <x v="1"/>
    <x v="10"/>
    <s v="F4.- Equipo humano interdisciplinario y competente."/>
    <x v="1"/>
    <x v="16"/>
  </r>
  <r>
    <x v="1"/>
    <x v="10"/>
    <s v="F5. Pertenecer a las entidades del sector público."/>
    <x v="2"/>
    <x v="30"/>
  </r>
  <r>
    <x v="1"/>
    <x v="10"/>
    <s v="F6. Ubicación geográfica favorable para la operación "/>
    <x v="2"/>
    <x v="31"/>
  </r>
  <r>
    <x v="1"/>
    <x v="10"/>
    <s v="F7. Capacidad financiera para respaldar procesos de contratación."/>
    <x v="5"/>
    <x v="28"/>
  </r>
  <r>
    <x v="1"/>
    <x v="10"/>
    <s v="F8. Se han desarrollado procesos de capacitación a los funcionarios"/>
    <x v="1"/>
    <x v="32"/>
  </r>
  <r>
    <x v="1"/>
    <x v="10"/>
    <s v="F9. Se delegan funciones y se propicia un buen clima de trabajo"/>
    <x v="1"/>
    <x v="38"/>
  </r>
  <r>
    <x v="1"/>
    <x v="10"/>
    <s v="F10. Existe un manual de funciones y un manual de procedimientos."/>
    <x v="1"/>
    <x v="38"/>
  </r>
  <r>
    <x v="1"/>
    <x v="10"/>
    <s v="F11. Las herramientas de trabajo responden a las necesidades del proceso"/>
    <x v="4"/>
    <x v="44"/>
  </r>
  <r>
    <x v="1"/>
    <x v="10"/>
    <s v="F12. Se cuenta con backups para la seguridad y trazabilidad de la información"/>
    <x v="0"/>
    <x v="17"/>
  </r>
  <r>
    <x v="1"/>
    <x v="10"/>
    <s v="F13. Se cuenta con canales claros de comunicación"/>
    <x v="0"/>
    <x v="40"/>
  </r>
  <r>
    <x v="1"/>
    <x v="10"/>
    <s v="F14. Los procesos de contratación son transparentes e imparciales"/>
    <x v="0"/>
    <x v="39"/>
  </r>
  <r>
    <x v="1"/>
    <x v="10"/>
    <s v="F15. Existen indicadores para medir la eficacia y eficiencia del proceso"/>
    <x v="3"/>
    <x v="34"/>
  </r>
  <r>
    <x v="1"/>
    <x v="10"/>
    <s v="F16. Credibilidad y confianza en la prestación de los servicios, los contratos y los convenios"/>
    <x v="2"/>
    <x v="31"/>
  </r>
  <r>
    <x v="1"/>
    <x v="10"/>
    <s v="F17. Posibilidad de crear y fortalecer nuevas alianzas estratégicas con empresas e instituciones de educación superior"/>
    <x v="2"/>
    <x v="30"/>
  </r>
  <r>
    <x v="1"/>
    <x v="10"/>
    <s v="F18. Mediciones que realiza Seguridad y Salud en el Trabajo."/>
    <x v="3"/>
    <x v="5"/>
  </r>
  <r>
    <x v="1"/>
    <x v="10"/>
    <s v="F19. La infraestructura es apta para la prestación del servicio."/>
    <x v="4"/>
    <x v="9"/>
  </r>
  <r>
    <x v="1"/>
    <x v="10"/>
    <s v="F20. Se realizan capacitaciones de vida saludable &quot;Seguridad y Salud en el Trabajo&quot;."/>
    <x v="1"/>
    <x v="32"/>
  </r>
  <r>
    <x v="1"/>
    <x v="10"/>
    <s v="F21. Se cuenta con documentación actualizada y se hace divulgación de la misma cuando se requiere. "/>
    <x v="0"/>
    <x v="29"/>
  </r>
  <r>
    <x v="1"/>
    <x v="10"/>
    <s v="F22. La universidad cuenta con un proceso/programa para el análisis del clima laboral."/>
    <x v="7"/>
    <x v="42"/>
  </r>
  <r>
    <x v="1"/>
    <x v="10"/>
    <s v="F23. Se tienen metas claras y precisas para el cumplimiento del Plan Rectoral y Plan Estrátegico."/>
    <x v="2"/>
    <x v="15"/>
  </r>
  <r>
    <x v="1"/>
    <x v="11"/>
    <s v="F1. Confidencialidad de la información."/>
    <x v="0"/>
    <x v="17"/>
  </r>
  <r>
    <x v="1"/>
    <x v="11"/>
    <s v="F2. Personal competente y actualizado capaz de brindar capacitaciones"/>
    <x v="1"/>
    <x v="16"/>
  </r>
  <r>
    <x v="1"/>
    <x v="11"/>
    <s v="F3. Respuesta rápida y oportuna a la solicitud de Información."/>
    <x v="0"/>
    <x v="17"/>
  </r>
  <r>
    <x v="1"/>
    <x v="11"/>
    <s v="F4. Adecuadas prácticas archivísticas."/>
    <x v="1"/>
    <x v="6"/>
  </r>
  <r>
    <x v="1"/>
    <x v="11"/>
    <s v="F5. Planificación de las actividades del Proceso."/>
    <x v="2"/>
    <x v="15"/>
  </r>
  <r>
    <x v="1"/>
    <x v="11"/>
    <s v="F6. Recursos propios para el Proceso."/>
    <x v="5"/>
    <x v="28"/>
  </r>
  <r>
    <x v="1"/>
    <x v="11"/>
    <s v="F7. El personal cuenta con los recursos digitales necesarios para el cumplimiento de los objetivos."/>
    <x v="4"/>
    <x v="44"/>
  </r>
  <r>
    <x v="1"/>
    <x v="11"/>
    <s v="F8. Sinergia. "/>
    <x v="7"/>
    <x v="42"/>
  </r>
  <r>
    <x v="1"/>
    <x v="11"/>
    <s v="F9. Los indicadores reflejan el desempeño del proceso y aportan al cumplimiento del plan rectoral y el plan estratégico"/>
    <x v="3"/>
    <x v="34"/>
  </r>
  <r>
    <x v="1"/>
    <x v="11"/>
    <s v="F10. Se cuenta con los elementos de protección para las correctas prácticas archivísticas"/>
    <x v="4"/>
    <x v="44"/>
  </r>
  <r>
    <x v="1"/>
    <x v="11"/>
    <s v="F11. Control de temperatura y humedad para la correcta conservación del archivo"/>
    <x v="0"/>
    <x v="41"/>
  </r>
  <r>
    <x v="1"/>
    <x v="11"/>
    <s v="F12. Se asegura la trazabilidad de las actividades ejecutadas mediante los informes de gestión de los funcionarios"/>
    <x v="3"/>
    <x v="46"/>
  </r>
  <r>
    <x v="1"/>
    <x v="11"/>
    <s v="F13. Apropiación del concepto transhumanidad y translocalidad mediante las actividades del proceso"/>
    <x v="1"/>
    <x v="6"/>
  </r>
  <r>
    <x v="1"/>
    <x v="11"/>
    <s v="F14. Documentos que soportan la operación del proceso publicados y actualizados"/>
    <x v="0"/>
    <x v="29"/>
  </r>
  <r>
    <x v="1"/>
    <x v="11"/>
    <s v="F15. Planificación de calibración y mantenimiento preventivo para los equipos del proceso"/>
    <x v="4"/>
    <x v="21"/>
  </r>
  <r>
    <x v="1"/>
    <x v="7"/>
    <s v="F1. Compromiso de la alta Dirección de impulsar la gestión de la internacionalización como factor principal para fortalecer el frente estratégico &quot;Dialogo Transfronterizo&quot;."/>
    <x v="2"/>
    <x v="7"/>
  </r>
  <r>
    <x v="1"/>
    <x v="7"/>
    <s v="F2. Dialogando con el mundo como eje transversal, para apoyar y fortalecer los procesos de: Formación y Aprendizaje, Intereaccion Social Universitaria y Bienestar Universitario."/>
    <x v="0"/>
    <x v="41"/>
  </r>
  <r>
    <x v="1"/>
    <x v="7"/>
    <s v="F3. Respuesta positiva de las Universidades extranjeras a las cuales se ha contactado para la suscripción de convenios. "/>
    <x v="2"/>
    <x v="30"/>
  </r>
  <r>
    <x v="1"/>
    <x v="7"/>
    <s v="F4. Contar con la experiencia, el conocimiento y el sentido de pertenencia de los funcionarios a cargo del proceso Dialogando con el Mundo. "/>
    <x v="1"/>
    <x v="16"/>
  </r>
  <r>
    <x v="1"/>
    <x v="7"/>
    <s v="F5. Prestigio a nivel nacional de las escuelas de verano &quot;Bilingüismo&quot;, como cursos intersemestrales. "/>
    <x v="2"/>
    <x v="31"/>
  </r>
  <r>
    <x v="1"/>
    <x v="7"/>
    <s v="F6. Se crea la estrategia de internacionalización en casas &quot;Pluriverso transmoderno&quot;."/>
    <x v="2"/>
    <x v="4"/>
  </r>
  <r>
    <x v="1"/>
    <x v="7"/>
    <s v="F7. El diálogo de saberes, se implementa mediante  la estrategia  de docente embajador (los docentes  comparten sus experiencias de movilidad a la comunidad académica). "/>
    <x v="1"/>
    <x v="2"/>
  </r>
  <r>
    <x v="1"/>
    <x v="7"/>
    <s v="F8. La Política Dialogando con el Mundo establece lineamientos claros."/>
    <x v="2"/>
    <x v="4"/>
  </r>
  <r>
    <x v="1"/>
    <x v="7"/>
    <s v="F9. El proceso Dialogando con el Mundo, ofrece a los estudiantes la posibilidad de ampliar sus conocimiento mediante la experiencia de pasantías."/>
    <x v="1"/>
    <x v="32"/>
  </r>
  <r>
    <x v="1"/>
    <x v="7"/>
    <s v="F10. El proceso Dialogando Mundo, promueve inclusión mediante el programa de voluntariado Internacional. "/>
    <x v="2"/>
    <x v="30"/>
  </r>
  <r>
    <x v="1"/>
    <x v="12"/>
    <s v="F1. Plataformas y Herramientas digitales."/>
    <x v="4"/>
    <x v="19"/>
  </r>
  <r>
    <x v="1"/>
    <x v="12"/>
    <s v="F2.  Personal idóneo para las necesidades del Proceso"/>
    <x v="1"/>
    <x v="16"/>
  </r>
  <r>
    <x v="1"/>
    <x v="12"/>
    <s v="F3. Conocimiento de la normatividad aplicable al proceso"/>
    <x v="1"/>
    <x v="16"/>
  </r>
  <r>
    <x v="1"/>
    <x v="12"/>
    <s v="F4. Se realizan capacitaciones e inducciones a los funcionarios del proceso"/>
    <x v="1"/>
    <x v="32"/>
  </r>
  <r>
    <x v="1"/>
    <x v="12"/>
    <s v="F5. Están plenamente establecidos las canales de comunicación internos y externos."/>
    <x v="0"/>
    <x v="40"/>
  </r>
  <r>
    <x v="1"/>
    <x v="12"/>
    <s v="F6. se cuanta con una planeación adecuada lo cual permite identificar y comunicar los cambios del proceso a todas las oficinas"/>
    <x v="2"/>
    <x v="15"/>
  </r>
  <r>
    <x v="1"/>
    <x v="12"/>
    <s v="F7. Aprovechamiento de las capacitaciones brindadas por la contaduría general de la nación en actualización de normatividad general que aplica al proceso."/>
    <x v="1"/>
    <x v="32"/>
  </r>
  <r>
    <x v="1"/>
    <x v="12"/>
    <s v="F8. El proceso cuenta con funcionarios competentes y dispuesto a brindar soluciones oportunas dando cumplimiento a lo establecido en la normativa legal. "/>
    <x v="1"/>
    <x v="16"/>
  </r>
  <r>
    <x v="1"/>
    <x v="12"/>
    <s v="F9. Personal con alta grado de compromiso para el cumplimiento  de los objetivos del proceso."/>
    <x v="1"/>
    <x v="6"/>
  </r>
  <r>
    <x v="1"/>
    <x v="12"/>
    <s v="F10. Se implementa la recepción de tramites por correo electrónico institucional y se gestionan oportunamente."/>
    <x v="0"/>
    <x v="35"/>
  </r>
  <r>
    <x v="1"/>
    <x v="12"/>
    <s v="F11. Los funcionarios tienen alto grado de adaptación al cambio frente a las contingencias."/>
    <x v="0"/>
    <x v="13"/>
  </r>
  <r>
    <x v="1"/>
    <x v="12"/>
    <s v="F12. Equipo de trabajo multidisciplinario, comprometido con alta capacidad de interacción y trabajo en equipo. "/>
    <x v="1"/>
    <x v="6"/>
  </r>
  <r>
    <x v="1"/>
    <x v="13"/>
    <s v="F1 Planes y proyectos encaminados al cumplimiento del plan estratégico"/>
    <x v="2"/>
    <x v="15"/>
  </r>
  <r>
    <x v="1"/>
    <x v="13"/>
    <s v="F2 Plan Estratégico orientado a la promoción y difusión de la oferta académica"/>
    <x v="2"/>
    <x v="4"/>
  </r>
  <r>
    <x v="1"/>
    <x v="13"/>
    <s v="F3. Capacitaciones en áreas disciplinares especificas de la Escuela de Formación y Aprendizaje Docente S21 - EFADS21"/>
    <x v="1"/>
    <x v="32"/>
  </r>
  <r>
    <x v="1"/>
    <x v="13"/>
    <s v="F4. Estrategia de resignificación curricular permanente"/>
    <x v="2"/>
    <x v="15"/>
  </r>
  <r>
    <x v="1"/>
    <x v="13"/>
    <s v="F5. Estimulo y reconocimiento a los estudiantes y profesores que participan en proyectos CTI e ISU"/>
    <x v="2"/>
    <x v="7"/>
  </r>
  <r>
    <x v="1"/>
    <x v="13"/>
    <s v="F6. Ruta de fortalecimiento pruebas de estado SABER"/>
    <x v="0"/>
    <x v="41"/>
  </r>
  <r>
    <x v="1"/>
    <x v="13"/>
    <s v="F7. Sentido de pertenencia de los docentes por sus programas académicos"/>
    <x v="1"/>
    <x v="6"/>
  </r>
  <r>
    <x v="1"/>
    <x v="13"/>
    <s v="F8. Consolidación de los procesos de autoevaluación para el logro de las condiciones de alta calidad"/>
    <x v="3"/>
    <x v="5"/>
  </r>
  <r>
    <x v="1"/>
    <x v="13"/>
    <s v="F9. Tener una extensión en Chía como lugar para ofertar postgrados, por localización cercana a Bogotá y zonas de alto impacto"/>
    <x v="2"/>
    <x v="31"/>
  </r>
  <r>
    <x v="1"/>
    <x v="13"/>
    <s v="F9. Tener una extensión en Chía como lugar para ofertar postgrados, por localización cercana a Bogotá y zonas de alto impacto"/>
    <x v="2"/>
    <x v="31"/>
  </r>
  <r>
    <x v="1"/>
    <x v="13"/>
    <s v="F10. Salidas académicas como actividades de aprendizaje translocal"/>
    <x v="0"/>
    <x v="41"/>
  </r>
  <r>
    <x v="1"/>
    <x v="13"/>
    <s v="F11. Perfiles de cargos administrativos y docentes definidos"/>
    <x v="1"/>
    <x v="38"/>
  </r>
  <r>
    <x v="1"/>
    <x v="13"/>
    <s v="F12. Desarrollo de  sistemas de información a la medida para la gestión académica y administrativa"/>
    <x v="4"/>
    <x v="19"/>
  </r>
  <r>
    <x v="1"/>
    <x v="13"/>
    <s v="F13. Respuesta oportuna, clara y veraz a las partes interesadas"/>
    <x v="0"/>
    <x v="40"/>
  </r>
  <r>
    <x v="1"/>
    <x v="13"/>
    <s v="F14. Los indicadores son insumo para la mejora continua del proceso"/>
    <x v="3"/>
    <x v="34"/>
  </r>
  <r>
    <x v="1"/>
    <x v="13"/>
    <s v="F15. Apoyo de pasantes y monitores para el desarrollo de actividades"/>
    <x v="1"/>
    <x v="27"/>
  </r>
  <r>
    <x v="1"/>
    <x v="13"/>
    <s v="F16. Apoyo de los monitores académicos para el cumplimiento de las funciones sustantivas"/>
    <x v="1"/>
    <x v="27"/>
  </r>
  <r>
    <x v="1"/>
    <x v="13"/>
    <s v="F17. (Postgrados) Equipo de trabajo calificado de acuerdo al perfil"/>
    <x v="1"/>
    <x v="16"/>
  </r>
  <r>
    <x v="1"/>
    <x v="13"/>
    <s v="F18. (Postgrados) Instalaciones del área administrativa para la ejecución de actividades"/>
    <x v="4"/>
    <x v="9"/>
  </r>
  <r>
    <x v="1"/>
    <x v="13"/>
    <s v="F19. Oferta de cursos virtuales a nivel internacional"/>
    <x v="2"/>
    <x v="45"/>
  </r>
  <r>
    <x v="1"/>
    <x v="13"/>
    <s v="F20. Creación de contenido con enfoque inclusivo (Videos, audios, subtítulos, lectura)"/>
    <x v="0"/>
    <x v="40"/>
  </r>
  <r>
    <x v="1"/>
    <x v="13"/>
    <s v="F21. Equipo interdisciplinar (Oficina de Educación Virtual y a Distancia)"/>
    <x v="1"/>
    <x v="16"/>
  </r>
  <r>
    <x v="1"/>
    <x v="13"/>
    <s v="F22. Fortalecimiento en la gestión del conocimiento en la oficina de Educación Virtual y a Distancia con los procesos académicos"/>
    <x v="1"/>
    <x v="2"/>
  </r>
  <r>
    <x v="1"/>
    <x v="13"/>
    <s v="F23. Mantenimiento preventivo a los equipos de la oficina de educación virtual y a distancia"/>
    <x v="4"/>
    <x v="21"/>
  </r>
  <r>
    <x v="1"/>
    <x v="13"/>
    <s v="F24. Asignación de espacios académicos acorde a las limitaciones físicas que presente la comunidad universitaria."/>
    <x v="4"/>
    <x v="20"/>
  </r>
  <r>
    <x v="1"/>
    <x v="13"/>
    <s v="F25. Implementación de la política de educación superior inclusiva"/>
    <x v="0"/>
    <x v="18"/>
  </r>
  <r>
    <x v="1"/>
    <x v="13"/>
    <s v="F26. Espacio e infraestructura del centro académico deportivo"/>
    <x v="4"/>
    <x v="9"/>
  </r>
  <r>
    <x v="1"/>
    <x v="13"/>
    <s v="F27. Ubicación geográfica del centro académico deportivo"/>
    <x v="4"/>
    <x v="20"/>
  </r>
  <r>
    <x v="1"/>
    <x v="13"/>
    <s v="F28. Articulación académica del CAD con la universidad"/>
    <x v="0"/>
    <x v="0"/>
  </r>
  <r>
    <x v="1"/>
    <x v="13"/>
    <s v="F29. Reconocimiento y respaldo institucional como Centro Académico Deportivo y campo de aprendizaje"/>
    <x v="2"/>
    <x v="31"/>
  </r>
  <r>
    <x v="1"/>
    <x v="13"/>
    <s v="F30. Sentido de pertenencia y responsabilidad por parte de los funcionarios para la correcta operación del CAD"/>
    <x v="1"/>
    <x v="6"/>
  </r>
  <r>
    <x v="1"/>
    <x v="13"/>
    <s v="F31. Contar con espacios de alojamiento y cafetería como valor agregado para el CAD"/>
    <x v="4"/>
    <x v="9"/>
  </r>
  <r>
    <x v="1"/>
    <x v="13"/>
    <s v="F32. Generación de nuevos servicios"/>
    <x v="2"/>
    <x v="4"/>
  </r>
  <r>
    <x v="1"/>
    <x v="14"/>
    <s v="F1. Se cuentan con metas claras y precisas para el cumplimiento del Plan Rectoral y el Plan Estratégico"/>
    <x v="2"/>
    <x v="15"/>
  </r>
  <r>
    <x v="1"/>
    <x v="14"/>
    <s v="F2. Actividades encaminadas a fortalecer el comportamiento social y como se contribuye al desarrollo del otro, por medio del voluntariado, proyectos de proyección social, ofertas de educación continuada y modelo de responsabilidad social universitaria"/>
    <x v="2"/>
    <x v="4"/>
  </r>
  <r>
    <x v="1"/>
    <x v="14"/>
    <s v="F3. Las actividades a realizar en el transcurso del semestre son planificadas teniendo en cuenta las necesidades del proceso y de la Institución."/>
    <x v="2"/>
    <x v="15"/>
  </r>
  <r>
    <x v="1"/>
    <x v="14"/>
    <s v="F4. Infraestructura Física adecuada para los servicios que ofrece la oficina de Interacción universitaria."/>
    <x v="4"/>
    <x v="9"/>
  </r>
  <r>
    <x v="1"/>
    <x v="14"/>
    <s v="F5. La normatividad aplicable al proceso se conoce y es actualizada periódicamente."/>
    <x v="0"/>
    <x v="25"/>
  </r>
  <r>
    <x v="1"/>
    <x v="14"/>
    <s v="F6. Precios asequibles para la Comunidad en General."/>
    <x v="2"/>
    <x v="45"/>
  </r>
  <r>
    <x v="1"/>
    <x v="14"/>
    <s v="F7. Se realizan procesos de capacitación, inducción y reinducción a los funcionarios para el desarrollo sus competencias laborales."/>
    <x v="1"/>
    <x v="32"/>
  </r>
  <r>
    <x v="1"/>
    <x v="14"/>
    <s v="F8.  Los perfiles de los funcionarios cumplen con las necesidades operativas actuales del proceso."/>
    <x v="1"/>
    <x v="16"/>
  </r>
  <r>
    <x v="1"/>
    <x v="14"/>
    <s v="F9. Funciones designadas de manera equilibrada para cada puesto de trabajo estableciendo roles, responsabilidades y perfil del personal contratado."/>
    <x v="1"/>
    <x v="38"/>
  </r>
  <r>
    <x v="1"/>
    <x v="14"/>
    <s v="F10. Canales de comunicación claramente establecidos y asertivos para el desarrollo de las actividades."/>
    <x v="0"/>
    <x v="40"/>
  </r>
  <r>
    <x v="1"/>
    <x v="15"/>
    <s v="F1. Se propicia un buen clima de trabajo "/>
    <x v="7"/>
    <x v="42"/>
  </r>
  <r>
    <x v="1"/>
    <x v="15"/>
    <s v="F2. Los funcionarios están comprometidos con el desarrollo de las actividades realizadas."/>
    <x v="1"/>
    <x v="6"/>
  </r>
  <r>
    <x v="1"/>
    <x v="15"/>
    <s v="F3. Se realiza retroalimentación a través de reuniones de trabajo. "/>
    <x v="2"/>
    <x v="7"/>
  </r>
  <r>
    <x v="1"/>
    <x v="15"/>
    <s v="F4. Se agilizan y se priorizan trámites para cumplir con los objetivos del proceso."/>
    <x v="0"/>
    <x v="18"/>
  </r>
  <r>
    <x v="1"/>
    <x v="15"/>
    <s v="F5.Transición de herramienta tecnológica (Integradoc) como apoyo a la gestión de información y documentación"/>
    <x v="4"/>
    <x v="19"/>
  </r>
  <r>
    <x v="1"/>
    <x v="16"/>
    <s v="F1. Implementación de un nuevo Modelo Integrado de Planeación y Gestión"/>
    <x v="0"/>
    <x v="0"/>
  </r>
  <r>
    <x v="1"/>
    <x v="16"/>
    <s v="F2. Construcción de espacios participativos y de discusión entre los diferentes actores de la comunidad Académica."/>
    <x v="2"/>
    <x v="30"/>
  </r>
  <r>
    <x v="1"/>
    <x v="16"/>
    <s v="F3. Implementación de buenas prácticas de Gestión"/>
    <x v="2"/>
    <x v="4"/>
  </r>
  <r>
    <x v="1"/>
    <x v="16"/>
    <s v="F4. La asignación del rubro presupuestal por parte de la universidad es suficiente para el cumplimiento de las actividades del proceso."/>
    <x v="5"/>
    <x v="11"/>
  </r>
  <r>
    <x v="1"/>
    <x v="16"/>
    <s v="F5. Fortalecimiento de la Planeación Estratégica"/>
    <x v="2"/>
    <x v="15"/>
  </r>
  <r>
    <x v="1"/>
    <x v="16"/>
    <s v="F6. Buenas Instalaciones e Infraestructura para el desarrollo de las actividades del proceso."/>
    <x v="4"/>
    <x v="9"/>
  </r>
  <r>
    <x v="1"/>
    <x v="16"/>
    <s v="F7. Los funcionarios  tienen conocimiento  de las actividades propias del proceso cumpliendo a cabalidad las funciones  y actividades en el tiempo planificado."/>
    <x v="1"/>
    <x v="38"/>
  </r>
  <r>
    <x v="1"/>
    <x v="16"/>
    <s v="F8. Canales de comunicación claramente establecidos y asertivos para el desarrollo de las actividades."/>
    <x v="0"/>
    <x v="40"/>
  </r>
  <r>
    <x v="1"/>
    <x v="16"/>
    <s v="F9. El proceso opera en concordancia con los lineamientos establecidos en el Plan Rectoral y Plan de Desarrollo, con el fin de contribuir al logro de  los objetivos institucionales."/>
    <x v="0"/>
    <x v="18"/>
  </r>
  <r>
    <x v="1"/>
    <x v="16"/>
    <s v="F10. Construcción de documentos estrategicos que establecen las líneas de acción que deben ejecutar los procesos de la Universidad, para el cumplimiento de los objetivos Institucionales."/>
    <x v="2"/>
    <x v="4"/>
  </r>
  <r>
    <x v="1"/>
    <x v="16"/>
    <s v="F8. Se realizan procesos de capacitación e inducción a los funcionarios para el desarrollo sus competencias laborales."/>
    <x v="1"/>
    <x v="32"/>
  </r>
  <r>
    <x v="1"/>
    <x v="17"/>
    <s v="F1. Aplicativo propio para realizar solicitudes a la Institución"/>
    <x v="4"/>
    <x v="19"/>
  </r>
  <r>
    <x v="1"/>
    <x v="17"/>
    <s v="F2.   Inducción y capacitación sobre los procedimientos a funcionarios, docentes y estudiantes de la institución  "/>
    <x v="1"/>
    <x v="32"/>
  </r>
  <r>
    <x v="1"/>
    <x v="17"/>
    <s v="F3. Buen Ambiente de trabajo"/>
    <x v="7"/>
    <x v="42"/>
  </r>
  <r>
    <x v="1"/>
    <x v="17"/>
    <s v="F4. Apoyo  por  parte  de las seccionales y extensiones en asignar una persona para optimizar los tramites y los tiempos determinados por la ley"/>
    <x v="1"/>
    <x v="38"/>
  </r>
  <r>
    <x v="1"/>
    <x v="17"/>
    <s v="F5. Se cuenta con infraestructura adecuada y acorde a la necesidades las partes interesadas  en la sede Fusagasugá."/>
    <x v="4"/>
    <x v="9"/>
  </r>
  <r>
    <x v="1"/>
    <x v="17"/>
    <s v="F6. Solicitud y asistencia a capacitaciones en materia de inclusión (lenguaje de señas)"/>
    <x v="1"/>
    <x v="32"/>
  </r>
  <r>
    <x v="1"/>
    <x v="17"/>
    <s v="F7. Se fortalece la transhumanidad en el proceso a través del servicio que se presta a la comunidad universitaria y la comunidad en general"/>
    <x v="1"/>
    <x v="6"/>
  </r>
  <r>
    <x v="1"/>
    <x v="17"/>
    <s v="F8.Fortalecimiento en la articulación y participación de los gestores de las seccionales y extensiones en los temas del SGC"/>
    <x v="0"/>
    <x v="0"/>
  </r>
  <r>
    <x v="1"/>
    <x v="17"/>
    <s v="F9. Mecanismos virtuales y presenciales para que la comunidad en general acceda a los servicios que presta la oficina."/>
    <x v="4"/>
    <x v="19"/>
  </r>
  <r>
    <x v="1"/>
    <x v="18"/>
    <s v="F1. Apoyo de la alta dirección para el mantenimiento del Sistema Integrado de Gestión"/>
    <x v="2"/>
    <x v="7"/>
  </r>
  <r>
    <x v="1"/>
    <x v="18"/>
    <s v="F2. Equipos e infraestructura adecuados para la oficina de calidad"/>
    <x v="4"/>
    <x v="44"/>
  </r>
  <r>
    <x v="1"/>
    <x v="18"/>
    <s v="F3. El sistema de gestión de la calidad hace parte de la estrategia de la organización"/>
    <x v="2"/>
    <x v="4"/>
  </r>
  <r>
    <x v="1"/>
    <x v="18"/>
    <s v="F4. Alto grado de Compromiso de los funcionarios del proceso para el desarrollo de las actividades."/>
    <x v="1"/>
    <x v="6"/>
  </r>
  <r>
    <x v="1"/>
    <x v="18"/>
    <s v="F5. Se asegura la Gestión del Conocimiento al interior del proceso por parte de los funcionarios, cumpliendo a cabalidad las actividades en el tiempo planificado."/>
    <x v="1"/>
    <x v="2"/>
  </r>
  <r>
    <x v="1"/>
    <x v="18"/>
    <s v="F6. Se cuenta  con backups para la seguridad y trazabilidad de la información."/>
    <x v="4"/>
    <x v="19"/>
  </r>
  <r>
    <x v="1"/>
    <x v="18"/>
    <s v="F7. Se tiene en cuenta la oferta de pasantes para el apoyo en la ejecución de las actividades del proceso."/>
    <x v="1"/>
    <x v="27"/>
  </r>
  <r>
    <x v="1"/>
    <x v="18"/>
    <s v="F8. Implementación de herramientas digitales para la optimización de trámites y procesos."/>
    <x v="4"/>
    <x v="19"/>
  </r>
  <r>
    <x v="1"/>
    <x v="19"/>
    <s v="F1. Existen indicadores para medir la eficacia del proceso, los cuales permiten tomar las acciones necesarias que permitan obtener los resultados previstos y aportar al logro de los objetivos institucionales."/>
    <x v="3"/>
    <x v="34"/>
  </r>
  <r>
    <x v="1"/>
    <x v="19"/>
    <s v="F2. La Dirección de Sistemas y Tecnología cuenta con un esquema de trabajo planificado y organizado que permite la distribución, ejecución y seguimiento de las actividades programadas."/>
    <x v="2"/>
    <x v="15"/>
  </r>
  <r>
    <x v="1"/>
    <x v="19"/>
    <s v="F3. Se realiza mantenimiento preventivo y/o correctivo de los equipos de acuerdo a un cronograma establecido permitiendo su control y cumplimiento."/>
    <x v="4"/>
    <x v="21"/>
  </r>
  <r>
    <x v="1"/>
    <x v="19"/>
    <s v="F4. Fortalecimiento de los canales de datos para la mejora de la conectividad al interior de la Universidad de Cundinamarca"/>
    <x v="4"/>
    <x v="26"/>
  </r>
  <r>
    <x v="1"/>
    <x v="19"/>
    <s v="F5. Director del Proceso comprometido con los requerimientos institucionales y que son resorte de la Dirección de Sistemas y Tecnología."/>
    <x v="1"/>
    <x v="6"/>
  </r>
  <r>
    <x v="1"/>
    <x v="19"/>
    <s v="F6. Implementación del Sistema de Gestión de Seguridad de la Información en la Universidad de Cundinamarca como lineamiento del componente de Seguridad y Privacidad de la Información en la estrategia de Gobierno Digital."/>
    <x v="0"/>
    <x v="25"/>
  </r>
  <r>
    <x v="1"/>
    <x v="19"/>
    <s v="F7. Implementación de Sistemas de Información para los procesos misionales y administrativos, atendiendo las necesidades de las partes interesadas."/>
    <x v="4"/>
    <x v="19"/>
  </r>
  <r>
    <x v="1"/>
    <x v="19"/>
    <s v="F8. Fortalecimientos de los canales de comunicación interno en sedes, seccionales, extensiones y oficina de Bogotá"/>
    <x v="0"/>
    <x v="40"/>
  </r>
  <r>
    <x v="1"/>
    <x v="19"/>
    <s v="F9. Nuevos desarrollos que permitan la automatización de procesos y procedimientos contribuyendo  a una Institución Universitaria Digital"/>
    <x v="0"/>
    <x v="35"/>
  </r>
  <r>
    <x v="1"/>
    <x v="19"/>
    <s v="F10.  Los perfiles de los funcionarios cumplen con las necesidades operativas del proceso."/>
    <x v="1"/>
    <x v="16"/>
  </r>
  <r>
    <x v="1"/>
    <x v="19"/>
    <s v="F11. Se cuenta con metas claras y enfocadas a lograr el cumplimiento del Plan Rectoral y el Plan de Desarrollo que plantea la Institución."/>
    <x v="2"/>
    <x v="15"/>
  </r>
  <r>
    <x v="1"/>
    <x v="19"/>
    <s v="F12. Se asegura de manera constante la Gestión del Conocimiento al interior del proceso, por medio de los líderes de área."/>
    <x v="1"/>
    <x v="2"/>
  </r>
  <r>
    <x v="1"/>
    <x v="19"/>
    <s v="F13. Se conoce, se aplica y se actualiza periódicamente la normatividad legal aplicable al proceso."/>
    <x v="0"/>
    <x v="25"/>
  </r>
  <r>
    <x v="1"/>
    <x v="20"/>
    <s v="F1. Cultura laboral respetuosa, agradable y enfocada al servicio. "/>
    <x v="7"/>
    <x v="42"/>
  </r>
  <r>
    <x v="1"/>
    <x v="20"/>
    <s v="F2. Comunicación asertiva entre los funcionarios de la oficina."/>
    <x v="0"/>
    <x v="40"/>
  </r>
  <r>
    <x v="1"/>
    <x v="20"/>
    <s v="F3. Planes de capacitación enfocados a la mejora continua de los funcionarios."/>
    <x v="1"/>
    <x v="32"/>
  </r>
  <r>
    <x v="1"/>
    <x v="20"/>
    <s v="F4. Equipo de trabajo comprometido con los objetivos del proceso."/>
    <x v="1"/>
    <x v="6"/>
  </r>
  <r>
    <x v="1"/>
    <x v="20"/>
    <s v="F5. Pago oportuno de la nomina y prestaciones sociales."/>
    <x v="0"/>
    <x v="1"/>
  </r>
  <r>
    <x v="1"/>
    <x v="20"/>
    <s v="F6. Crecimiento de los funcionarios a nivel académico."/>
    <x v="1"/>
    <x v="16"/>
  </r>
  <r>
    <x v="1"/>
    <x v="20"/>
    <s v="F7. Equipo de trabajo dedicado al desarrollo de software en la universidad de Cundinamarca."/>
    <x v="1"/>
    <x v="16"/>
  </r>
  <r>
    <x v="1"/>
    <x v="20"/>
    <s v="F8. Contar con espacios deportivos al servicio de los funcionarios de la Universidad que permiten generar bienestar."/>
    <x v="7"/>
    <x v="42"/>
  </r>
  <r>
    <x v="1"/>
    <x v="20"/>
    <s v="F9. Sistematización para procedimiento de Acuerdos de Gestión y diferentes software para el mejoramiento de la calidad del proceso."/>
    <x v="0"/>
    <x v="35"/>
  </r>
  <r>
    <x v="1"/>
    <x v="20"/>
    <s v="F10. Roles, responsabilidades y autoridades establecidas dentro del proceso"/>
    <x v="1"/>
    <x v="38"/>
  </r>
  <r>
    <x v="1"/>
    <x v="20"/>
    <s v="F11. Personal competente para el desarrollo de las atividades del proceso"/>
    <x v="1"/>
    <x v="16"/>
  </r>
  <r>
    <x v="1"/>
    <x v="20"/>
    <s v="F12. Se cuenta con una estructura clara y definida del proceso de comunicación interna y externa "/>
    <x v="0"/>
    <x v="40"/>
  </r>
  <r>
    <x v="1"/>
    <x v="20"/>
    <s v="F13. Elementos e insumos de trabajo suficientes y acordes para el desarrollo de actividades del proceso"/>
    <x v="4"/>
    <x v="44"/>
  </r>
  <r>
    <x v="1"/>
    <x v="20"/>
    <s v="F14. Implementación y aplicación de una politica previamente establecida dentro del desarrollo del Proceso"/>
    <x v="0"/>
    <x v="25"/>
  </r>
  <r>
    <x v="1"/>
    <x v="20"/>
    <s v="F15. Se cuenta con una planificación de actividades a realizar durante el semestre"/>
    <x v="2"/>
    <x v="15"/>
  </r>
  <r>
    <x v="1"/>
    <x v="20"/>
    <s v="F16. Indicadores establecidos para medir los resultados de la  gestión "/>
    <x v="3"/>
    <x v="34"/>
  </r>
  <r>
    <x v="1"/>
    <x v="20"/>
    <s v="F17. Sistematización de algunas actividades dentro de los procedimientos. "/>
    <x v="0"/>
    <x v="35"/>
  </r>
  <r>
    <x v="1"/>
    <x v="20"/>
    <s v="F18. El proceso cuenta con gestores en las seccionales y extensiones."/>
    <x v="1"/>
    <x v="8"/>
  </r>
  <r>
    <x v="1"/>
    <x v="20"/>
    <s v="F19. Equipo de trabajo multidisciplinario que se apoya mutuamente."/>
    <x v="1"/>
    <x v="16"/>
  </r>
  <r>
    <x v="1"/>
    <x v="20"/>
    <s v="F20. Cumplimiento en el 100% de las inducciones y reinducciones al personal."/>
    <x v="1"/>
    <x v="32"/>
  </r>
  <r>
    <x v="1"/>
    <x v="21"/>
    <s v="F1. Cultura laboral respetuosa, agradable y enfocada al servicio. "/>
    <x v="7"/>
    <x v="42"/>
  </r>
  <r>
    <x v="1"/>
    <x v="21"/>
    <s v="F2. Comunicación asertiva entre los funcionarios de la oficina."/>
    <x v="0"/>
    <x v="40"/>
  </r>
  <r>
    <x v="1"/>
    <x v="21"/>
    <s v="F3. Sistematización de algunas actividades dentro de los procedimientos. (software para manejo de ausentismo, seguimiento a condiciones de salud e investigación de accidentes de trabajo)."/>
    <x v="0"/>
    <x v="35"/>
  </r>
  <r>
    <x v="1"/>
    <x v="21"/>
    <s v="F4. Participación de representante de SG-SST en la comisión de gestión, como invitado."/>
    <x v="1"/>
    <x v="27"/>
  </r>
  <r>
    <x v="1"/>
    <x v="21"/>
    <s v="F5. Equipo de trabajo competente y comprometido con los objetivos del proceso."/>
    <x v="1"/>
    <x v="6"/>
  </r>
  <r>
    <x v="1"/>
    <x v="21"/>
    <s v="F6. Crecimiento de los funcionarios a nivel académico."/>
    <x v="1"/>
    <x v="32"/>
  </r>
  <r>
    <x v="1"/>
    <x v="21"/>
    <s v="F7. Equipo de trabajo dedicado al desarrollo de software en la universidad de Cundinamarca."/>
    <x v="1"/>
    <x v="16"/>
  </r>
  <r>
    <x v="1"/>
    <x v="21"/>
    <s v="F8. Contar con espacios deportivos al servicio de los funcionarios de la Universidad que permiten generar bienestar."/>
    <x v="4"/>
    <x v="9"/>
  </r>
  <r>
    <x v="1"/>
    <x v="21"/>
    <s v="F9. Roles, responsabilidades y autoridades establecidas dentro del SG-SST,  establecidas en resolución rectoral 027 de 2020."/>
    <x v="0"/>
    <x v="25"/>
  </r>
  <r>
    <x v="1"/>
    <x v="21"/>
    <s v="F10. Se cuenta con una estructura clara y definida del proceso de comunicación interna y externa."/>
    <x v="0"/>
    <x v="40"/>
  </r>
  <r>
    <x v="1"/>
    <x v="21"/>
    <s v="F11. Se cuenta con una planificación de actividades a realizar durante el semestre."/>
    <x v="2"/>
    <x v="15"/>
  </r>
  <r>
    <x v="1"/>
    <x v="21"/>
    <s v="F12. Se cuenta con alianzas estratégicas de empresa y instituciones académicas para el desarrollo de las actividades del SG-SST."/>
    <x v="2"/>
    <x v="30"/>
  </r>
  <r>
    <x v="1"/>
    <x v="21"/>
    <s v="F13. Trabajo en equipo con los programas educativos de la Universidad."/>
    <x v="1"/>
    <x v="6"/>
  </r>
  <r>
    <x v="1"/>
    <x v="21"/>
    <s v="F14. Contar con un rubro presupuestal independiente. "/>
    <x v="5"/>
    <x v="11"/>
  </r>
  <r>
    <x v="1"/>
    <x v="21"/>
    <s v="F15. Prerrequisito para la contratación del curso virtual de 50 horas."/>
    <x v="0"/>
    <x v="25"/>
  </r>
  <r>
    <x v="1"/>
    <x v="21"/>
    <s v="F16. Inducción del SG SST."/>
    <x v="1"/>
    <x v="32"/>
  </r>
  <r>
    <x v="1"/>
    <x v="21"/>
    <s v="F17. Implementación del SG-SST en un 97% según Resolución 0312 de 2019 dando cumplimiento al Decreto 1072 de 2015."/>
    <x v="0"/>
    <x v="25"/>
  </r>
  <r>
    <x v="1"/>
    <x v="21"/>
    <s v="F18. Realización de reuniones frecuentes y pronto tratamiento de los casos reportados  - comité de convivencia laboral."/>
    <x v="0"/>
    <x v="41"/>
  </r>
  <r>
    <x v="1"/>
    <x v="21"/>
    <s v="F19. Campañas de comunicación relacionadas al SG SST con apoyo del proceso de comunicaciones de la Universidad de  Cundinamarca."/>
    <x v="0"/>
    <x v="40"/>
  </r>
  <r>
    <x v="1"/>
    <x v="21"/>
    <s v="F20. Selecccion de proveedores con implementación del SG-SST igual o superior a 86% según estandares de la Resolución 0312 de 2019."/>
    <x v="0"/>
    <x v="25"/>
  </r>
  <r>
    <x v="1"/>
    <x v="22"/>
    <s v="F1.Personal preparado y competente con alto grado de compromiso para el logro de objetivos el  desarrollo de las actividades de la oficina de graduados. "/>
    <x v="1"/>
    <x v="16"/>
  </r>
  <r>
    <x v="1"/>
    <x v="22"/>
    <s v="F2. Espacios académicos para talleres y charlas para beneficio de los graduados de la u Cundinamarca."/>
    <x v="4"/>
    <x v="9"/>
  </r>
  <r>
    <x v="1"/>
    <x v="22"/>
    <s v="F3. Planificación de actividades para los Graduados. "/>
    <x v="2"/>
    <x v="15"/>
  </r>
  <r>
    <x v="1"/>
    <x v="22"/>
    <s v="F4. Contar con un aplicativo en la pagina de la universidad en donde los graduados dejan datos básicos para adquirir su carnet el cual se le envía por medio de correo electrónico"/>
    <x v="4"/>
    <x v="19"/>
  </r>
  <r>
    <x v="1"/>
    <x v="22"/>
    <s v="F5 Bolsa de empleo"/>
    <x v="2"/>
    <x v="30"/>
  </r>
  <r>
    <x v="1"/>
    <x v="22"/>
    <s v="F6. Pertenecer a red SEIS(Red de las oficinas de egresados de las instituciones de educación superior)."/>
    <x v="2"/>
    <x v="30"/>
  </r>
  <r>
    <x v="1"/>
    <x v="22"/>
    <s v="F7. Efectividad en el relacionamiento y oportunidad en la atención y respuesta a las necesidades de los graduados."/>
    <x v="0"/>
    <x v="1"/>
  </r>
  <r>
    <x v="1"/>
    <x v="22"/>
    <s v="F8. Se tiene en cuenta la disposición de monitores para el apoyo de actividades propias del proceso"/>
    <x v="1"/>
    <x v="27"/>
  </r>
  <r>
    <x v="1"/>
    <x v="22"/>
    <s v="F9. Contar con una revista de graduados "/>
    <x v="0"/>
    <x v="40"/>
  </r>
  <r>
    <x v="1"/>
    <x v="22"/>
    <s v="F10. Reconocimiento a los graduados exitosos a nivel nacional o internacional."/>
    <x v="2"/>
    <x v="31"/>
  </r>
  <r>
    <x v="1"/>
    <x v="22"/>
    <s v="F11. Mediante los campos de aprendizaje cultural se amplia la interacción de los graduados con la Universidad de Cundinamarca."/>
    <x v="0"/>
    <x v="0"/>
  </r>
  <r>
    <x v="1"/>
    <x v="22"/>
    <s v="F12. Realizar Convenios que beneficien al graduado y fortalezcan el crecimiento profesional y personal."/>
    <x v="2"/>
    <x v="30"/>
  </r>
  <r>
    <x v="1"/>
    <x v="22"/>
    <s v="F13. Los graduados cuentas con un carnet y correo electrónico Institucional vitalicio  el cual les permite el ingreso a las instalaciones de la universidad en sede seccionales y extensiones y el uso gratuita de biblioteca y gimnasio."/>
    <x v="4"/>
    <x v="20"/>
  </r>
  <r>
    <x v="1"/>
    <x v="22"/>
    <s v="F14. Contar con la política de graduados que contiene los criterios para la ejecución de actividades, estrategias, programas y proyectos para el estamento de graduados.  "/>
    <x v="0"/>
    <x v="25"/>
  </r>
  <r>
    <x v="1"/>
    <x v="22"/>
    <s v="F15. Jornadas de preparación al mercado laboral, capacitación y fortalecimiento de habilidades blandas y transversales, talleres de ética profesional, tramite de tarjeta profesional y congreso anual de graduados en áreas de emprendimiento e innovacion.Encuentro deportivo y cultural de graduado."/>
    <x v="1"/>
    <x v="32"/>
  </r>
  <r>
    <x v="2"/>
    <x v="24"/>
    <s v="A1. Cumplimiento de la normatividad nacional, departamental y local por declaración de calamidad pública"/>
    <x v="8"/>
    <x v="25"/>
  </r>
  <r>
    <x v="2"/>
    <x v="24"/>
    <s v="A2. Actualización en normatividad por parte del Ministerio de Educación Nacional y/o el Consejo Nacional de Acreditación"/>
    <x v="8"/>
    <x v="25"/>
  </r>
  <r>
    <x v="2"/>
    <x v="10"/>
    <s v="A1. Ley de garantías "/>
    <x v="8"/>
    <x v="25"/>
  </r>
  <r>
    <x v="2"/>
    <x v="10"/>
    <s v="A2. Universidades competidoras con mayor trayectoria y experiencia en modelos de contratación por medio de licitaciones."/>
    <x v="9"/>
    <x v="16"/>
  </r>
  <r>
    <x v="2"/>
    <x v="10"/>
    <s v="A3. Desconocimiento de las entidades públicas al respecto de la Dirección de Proyectos Especiales de la Universidad."/>
    <x v="9"/>
    <x v="47"/>
  </r>
  <r>
    <x v="2"/>
    <x v="10"/>
    <s v="A4. Dependencia de la aprobación de Planes de Desarrollo a nivel departamental."/>
    <x v="10"/>
    <x v="48"/>
  </r>
  <r>
    <x v="2"/>
    <x v="10"/>
    <s v="A5. Cambios administrativos en las entidades con las cuales se suscriben los contratos."/>
    <x v="8"/>
    <x v="49"/>
  </r>
  <r>
    <x v="2"/>
    <x v="10"/>
    <s v="A6. Deterioro de la imagen de la Universidad de Cundinamarca."/>
    <x v="9"/>
    <x v="47"/>
  </r>
  <r>
    <x v="2"/>
    <x v="10"/>
    <s v="A7. No poder realizar gestión comercial para suscribir Convenios y/o Contratos, debido a la actual situación de pandemia que se esta viviendo a nivel mundial. "/>
    <x v="9"/>
    <x v="47"/>
  </r>
  <r>
    <x v="2"/>
    <x v="16"/>
    <s v="A1. La ejecución de las actividades del proceso pueden verse afectadas con la ocurrencia de desastres, fenómenos naturales y/o situaciones de afectación nacional."/>
    <x v="11"/>
    <x v="50"/>
  </r>
  <r>
    <x v="2"/>
    <x v="16"/>
    <s v="A2. Cambios en la Normatividad regulatoria del sector"/>
    <x v="8"/>
    <x v="25"/>
  </r>
  <r>
    <x v="2"/>
    <x v="16"/>
    <s v="A3. Se presentan casos de vandalismo y delincuencia que alteran el orden público afectando el desarrollo de las actividades."/>
    <x v="12"/>
    <x v="51"/>
  </r>
  <r>
    <x v="2"/>
    <x v="16"/>
    <s v="A4. Asignación de recursos públicos del Sistema General de Regalías y de participación para Universidades Públicas y Privadas en igualdad de condiciones"/>
    <x v="13"/>
    <x v="52"/>
  </r>
  <r>
    <x v="2"/>
    <x v="16"/>
    <s v="A5. Recursos Financieros insuficientes para satisfacer las necesidades de la Institución"/>
    <x v="13"/>
    <x v="11"/>
  </r>
  <r>
    <x v="2"/>
    <x v="16"/>
    <s v="A6. Falta de Articulación de los procesos frente a las funciones y metas propias de cada área."/>
    <x v="10"/>
    <x v="30"/>
  </r>
  <r>
    <x v="2"/>
    <x v="16"/>
    <s v="A7. Las modalidades de Contratación con las que cuenta la Institución, impiden que se realicen procesos de capacitación e inducción a los funcionarios para el desarrollo de sus competencias laborales."/>
    <x v="12"/>
    <x v="53"/>
  </r>
  <r>
    <x v="2"/>
    <x v="1"/>
    <s v="A1. Variación acelerada de las tendencias en los recursos de apoyo de la educación superior (Característica 26 - Lineamiento CNA)."/>
    <x v="8"/>
    <x v="54"/>
  </r>
  <r>
    <x v="2"/>
    <x v="1"/>
    <s v="A2. Brote de enfermedades de control oficial. "/>
    <x v="11"/>
    <x v="55"/>
  </r>
  <r>
    <x v="2"/>
    <x v="1"/>
    <s v="A3. Asonadas, paros estudiantiles."/>
    <x v="12"/>
    <x v="53"/>
  </r>
  <r>
    <x v="2"/>
    <x v="1"/>
    <s v="A4. la asignación  presupuestal por parte del gobierno es insuficiente y los tiempos no son acordes para el cumplimiento de las actividades del proceso"/>
    <x v="13"/>
    <x v="11"/>
  </r>
  <r>
    <x v="2"/>
    <x v="1"/>
    <s v="A5. Se crean grupos sociales que emiten información falsa sobre la universidad."/>
    <x v="12"/>
    <x v="56"/>
  </r>
  <r>
    <x v="2"/>
    <x v="1"/>
    <s v="A6. No hay una clara interpretación y direccionamiento de los requisitos legales. "/>
    <x v="8"/>
    <x v="54"/>
  </r>
  <r>
    <x v="2"/>
    <x v="1"/>
    <s v="A7. Insuficiencia en el mercado de audiolibros y libros de cecografía para dotación de las bibliotecas. "/>
    <x v="12"/>
    <x v="53"/>
  </r>
  <r>
    <x v="2"/>
    <x v="1"/>
    <s v="A8. Actualización constante en relación a los lineamientos gubernamentales en atención a la emergencia sanitaria (COVID 19)"/>
    <x v="8"/>
    <x v="54"/>
  </r>
  <r>
    <x v="2"/>
    <x v="1"/>
    <s v="A9. Falta de disponibilidad de los recursos electrónicos   EzProxy (software autenticación para ingreso de base de datos) Koha (sistema de gestión bibliotecario  -préstamo y catalogación) - Dspace (Repositorio institucional)) ofertados por un tercero por causa de demoras en la contratación o fallas en el sistema de los mismos"/>
    <x v="14"/>
    <x v="57"/>
  </r>
  <r>
    <x v="2"/>
    <x v="14"/>
    <s v="A1. Posible incumplimiento de compromisos con con las partes interesadas"/>
    <x v="9"/>
    <x v="58"/>
  </r>
  <r>
    <x v="2"/>
    <x v="14"/>
    <s v="A2. El modelo y los tiempos de contratación de la Universidad son ineficientes, extensos y dispendiosos afectando la continuidad  de los procesos."/>
    <x v="8"/>
    <x v="59"/>
  </r>
  <r>
    <x v="2"/>
    <x v="14"/>
    <s v="A3. Estudiantes que realizan pasantías y/o practicas sin el cumplimiento de los requisitos establecidos por Interacción Social Universitaria"/>
    <x v="8"/>
    <x v="25"/>
  </r>
  <r>
    <x v="2"/>
    <x v="14"/>
    <s v="A4. Realización de actividades de terceros que puedan afectar el cumplimiento de los objetivos que realiza el proceso"/>
    <x v="8"/>
    <x v="59"/>
  </r>
  <r>
    <x v="2"/>
    <x v="14"/>
    <s v="A5. Falta de información y aplicación por parte de los Coordinadores de Programa de los formatos de seguimiento"/>
    <x v="12"/>
    <x v="56"/>
  </r>
  <r>
    <x v="2"/>
    <x v="13"/>
    <s v="A1  Tiempos de aplicación de las políticas del Ministerio de Educación."/>
    <x v="10"/>
    <x v="60"/>
  </r>
  <r>
    <x v="2"/>
    <x v="13"/>
    <s v="A2 Disminución de la transferencia económica del departamento y de la Nación"/>
    <x v="13"/>
    <x v="11"/>
  </r>
  <r>
    <x v="2"/>
    <x v="13"/>
    <s v="A3. La ubicación geográfica de algunas sedes no facilita la consecución de docentes requeridos para los núcleos temáticos (disciplinariedad - condiciones de formación posgradual)"/>
    <x v="12"/>
    <x v="53"/>
  </r>
  <r>
    <x v="2"/>
    <x v="13"/>
    <s v="A4. Condiciones de contratación en el medio teniendo en cuenta la naturaleza y el programa"/>
    <x v="10"/>
    <x v="30"/>
  </r>
  <r>
    <x v="2"/>
    <x v="13"/>
    <s v="A5. No se garantizan las competencias alcanzadas en la educación media como línea base para el ingreso de los estudiantes a la educación superior"/>
    <x v="12"/>
    <x v="53"/>
  </r>
  <r>
    <x v="2"/>
    <x v="13"/>
    <s v="A6. Situaciones de orden público y catástrofes naturales"/>
    <x v="12"/>
    <x v="51"/>
  </r>
  <r>
    <x v="2"/>
    <x v="13"/>
    <s v="A7. Ataques a la infraestructura tecnológica"/>
    <x v="14"/>
    <x v="61"/>
  </r>
  <r>
    <x v="2"/>
    <x v="13"/>
    <s v="_x000a_A8. Actualización de contenidos normativos o legales en los cursos vigentes"/>
    <x v="8"/>
    <x v="54"/>
  </r>
  <r>
    <x v="2"/>
    <x v="13"/>
    <s v="A9. Posible incumplimiento de las directrices internas y externas frente a derechos de autor"/>
    <x v="8"/>
    <x v="54"/>
  </r>
  <r>
    <x v="2"/>
    <x v="13"/>
    <s v="A10. Intermitencias en la conectividad de internet para el desarrollo de las actividades"/>
    <x v="14"/>
    <x v="57"/>
  </r>
  <r>
    <x v="2"/>
    <x v="13"/>
    <s v="A11. Actualización en la normatividad vigente"/>
    <x v="8"/>
    <x v="25"/>
  </r>
  <r>
    <x v="2"/>
    <x v="13"/>
    <s v="A12. Cumplimiento de la normatividad nacional, departamental, local e interna por declaración de calamidad pública"/>
    <x v="8"/>
    <x v="25"/>
  </r>
  <r>
    <x v="2"/>
    <x v="13"/>
    <s v="A13. Celebración indebida de contratos sin el cumplimiento de los requisitos legales establecidos en el manual de contratación"/>
    <x v="8"/>
    <x v="25"/>
  </r>
  <r>
    <x v="2"/>
    <x v="13"/>
    <s v="A14. Situaciones de fuerza mayor o caso fortuito que impidan la normal ejecución del contrato"/>
    <x v="8"/>
    <x v="59"/>
  </r>
  <r>
    <x v="2"/>
    <x v="13"/>
    <s v="A15. Incumplimiento de las obligaciones contractuales (etapa contractual y postcontractual)"/>
    <x v="8"/>
    <x v="59"/>
  </r>
  <r>
    <x v="2"/>
    <x v="13"/>
    <s v="A16. No logro de la meta financiera propuesta"/>
    <x v="13"/>
    <x v="11"/>
  </r>
  <r>
    <x v="2"/>
    <x v="13"/>
    <s v="A17. Entidades de carácter público y privado que presten servicios similares a los que brinda el CAD"/>
    <x v="9"/>
    <x v="16"/>
  </r>
  <r>
    <x v="2"/>
    <x v="13"/>
    <s v="A18. Falta de estrategias de manejo ambiental dentro del centro académico y deportivo"/>
    <x v="10"/>
    <x v="30"/>
  </r>
  <r>
    <x v="2"/>
    <x v="13"/>
    <s v="A19. Condiciones climáticas desfavorables para la venta de servicios y desarrollo académico"/>
    <x v="11"/>
    <x v="50"/>
  </r>
  <r>
    <x v="2"/>
    <x v="13"/>
    <s v="A20. Alteración del orden público a nivel estudiantil"/>
    <x v="12"/>
    <x v="51"/>
  </r>
  <r>
    <x v="2"/>
    <x v="7"/>
    <s v="A1. Los  cambios de políticas gubernamentales Nacionales e Internacionales podrían afectar los procesos de Movilidad. "/>
    <x v="10"/>
    <x v="60"/>
  </r>
  <r>
    <x v="2"/>
    <x v="7"/>
    <s v="A2. Los fenómenos naturales, las enfermedades que afectan la salud pública y la declaración de estado de emergencias Nacionales e Internacionales, intervienen en los procesos de Movilidad."/>
    <x v="11"/>
    <x v="55"/>
  </r>
  <r>
    <x v="2"/>
    <x v="7"/>
    <s v="A3. Asumir proceso de transferencia internacional de datos sin articulación con el sistema de Seguridad de la información. "/>
    <x v="10"/>
    <x v="30"/>
  </r>
  <r>
    <x v="2"/>
    <x v="7"/>
    <s v="A4. Falta de opciones de enseñanza - aprendizaje en otros idiomas diferentes al inglés, que faciliten los procesos de multilingüismo y transculturalidad mediado por el centro de Idiomas."/>
    <x v="12"/>
    <x v="53"/>
  </r>
  <r>
    <x v="2"/>
    <x v="4"/>
    <s v="A1. Imprudencia y falta de Autocuidado en la Comunidad Universitaria."/>
    <x v="12"/>
    <x v="56"/>
  </r>
  <r>
    <x v="2"/>
    <x v="4"/>
    <s v="A2. Falta de Articulación con otros procesos misionales, con el fin de fortalecer la permanencia de los estudiantes (Consejerías, Monitorias de Nivelación, entre otros)"/>
    <x v="8"/>
    <x v="59"/>
  </r>
  <r>
    <x v="2"/>
    <x v="4"/>
    <s v="A3. Condiciones económicas e intrafamiliares que afectan a los estudiantes"/>
    <x v="12"/>
    <x v="53"/>
  </r>
  <r>
    <x v="2"/>
    <x v="4"/>
    <s v="A4. Falta por parte de la Institución, aplicar algún modelo que permita incluir a contratistas en los procesos de formación"/>
    <x v="10"/>
    <x v="60"/>
  </r>
  <r>
    <x v="2"/>
    <x v="4"/>
    <s v="A5. La asignación presupuestal transferida por parte del municipio, departamento y/o nación no es suficiente para atender las necesidades de la institución."/>
    <x v="13"/>
    <x v="11"/>
  </r>
  <r>
    <x v="2"/>
    <x v="4"/>
    <s v="A6. Se presentan casos de vandalismo y delincuencia que alteran el orden público afectando el desarrollo de las actividades."/>
    <x v="12"/>
    <x v="51"/>
  </r>
  <r>
    <x v="2"/>
    <x v="4"/>
    <s v="A7. Se crean grupos en redes sociales emitiendo información no válida  sobre la Institución. "/>
    <x v="12"/>
    <x v="56"/>
  </r>
  <r>
    <x v="2"/>
    <x v="4"/>
    <s v="A8.  La ejecución de las actividades del proceso pueden verse afectadas con la ocurrencia de desastres , fenomenos naturales, situaciones de emergencia y/o situaciones de  orden publico"/>
    <x v="11"/>
    <x v="50"/>
  </r>
  <r>
    <x v="2"/>
    <x v="4"/>
    <s v="A9. Falta la ejecución de mantenimiento preventivo y/o correctivo de los elementos con los que cuenta el proceso."/>
    <x v="14"/>
    <x v="62"/>
  </r>
  <r>
    <x v="2"/>
    <x v="4"/>
    <s v="A10. La falta de cumplimiento contractual o de la normatividad vigente por parte de algunos proveedores que prestan el servicio en los programas socio - económicos"/>
    <x v="8"/>
    <x v="25"/>
  </r>
  <r>
    <x v="2"/>
    <x v="4"/>
    <s v="A11. Desconocimiento de las actividades que desarrolla Bienestar"/>
    <x v="12"/>
    <x v="63"/>
  </r>
  <r>
    <x v="2"/>
    <x v="4"/>
    <s v="A12. Estigmatización a los servicios de Programas socioeconómicos por parte de los estudiantes."/>
    <x v="12"/>
    <x v="56"/>
  </r>
  <r>
    <x v="2"/>
    <x v="4"/>
    <s v="A13. Falta de interés por parte de administrativos y docentes a las actividades que desarrolla bienestar"/>
    <x v="12"/>
    <x v="56"/>
  </r>
  <r>
    <x v="2"/>
    <x v="11"/>
    <s v="A1. Catástrofes naturales."/>
    <x v="11"/>
    <x v="50"/>
  </r>
  <r>
    <x v="2"/>
    <x v="11"/>
    <s v="A2. Hackers Informáticos externos. "/>
    <x v="14"/>
    <x v="61"/>
  </r>
  <r>
    <x v="2"/>
    <x v="11"/>
    <s v="A3. Apagones "/>
    <x v="11"/>
    <x v="50"/>
  </r>
  <r>
    <x v="2"/>
    <x v="11"/>
    <s v="A4. Manipulación de la información por agentes externos, empresas que apoyan en la creación gestasoft "/>
    <x v="14"/>
    <x v="61"/>
  </r>
  <r>
    <x v="2"/>
    <x v="11"/>
    <s v="A5. Situaciones de orden público"/>
    <x v="12"/>
    <x v="51"/>
  </r>
  <r>
    <x v="2"/>
    <x v="11"/>
    <s v="A6. Cumplimiento de la normatividad nacional, departamental y local por declaración de calamidad pública"/>
    <x v="8"/>
    <x v="25"/>
  </r>
  <r>
    <x v="2"/>
    <x v="11"/>
    <s v="A7. Desconocimiento de los proveedores frente a las obligaciones contractuales"/>
    <x v="10"/>
    <x v="30"/>
  </r>
  <r>
    <x v="2"/>
    <x v="12"/>
    <s v="A1. No Giro oportuno de las entidades externas de los aportes ordinarios y aportes con destinación especifica a la Universidad de Cundinamarca."/>
    <x v="13"/>
    <x v="11"/>
  </r>
  <r>
    <x v="2"/>
    <x v="12"/>
    <s v="A2. No tramite oportuno para el giro de las transferencias de recursos provenientes del Fondo de extensión y proyectos especiales, Fondo Académico y Centro Académico Deportivo CAD a la Universidad de Cundinamarca."/>
    <x v="13"/>
    <x v="64"/>
  </r>
  <r>
    <x v="2"/>
    <x v="25"/>
    <s v="A1. Cambios recurrentes en la legislación y normatividad"/>
    <x v="8"/>
    <x v="25"/>
  </r>
  <r>
    <x v="2"/>
    <x v="25"/>
    <s v="A2. Falta de claridad en los lineamientos establecidos en la politica de Educación Superior Inclusiva para la actualización de la documentación de los procesos "/>
    <x v="8"/>
    <x v="54"/>
  </r>
  <r>
    <x v="2"/>
    <x v="25"/>
    <s v="A3. Se presentan casos de vandalismo y delincuencia que alteran el orden público afectando el desarrollo de las actividades."/>
    <x v="12"/>
    <x v="51"/>
  </r>
  <r>
    <x v="2"/>
    <x v="25"/>
    <s v="A4. La ejecución de las actividades del proceso pueden verse afectadas con la ocurrencia de desastres y fenomenos naturales."/>
    <x v="11"/>
    <x v="50"/>
  </r>
  <r>
    <x v="2"/>
    <x v="25"/>
    <s v="A5. Dependencia de recursos tecnológicos y conectividad para la ejecución de actividades en la modalidad de trabajo en casa"/>
    <x v="14"/>
    <x v="57"/>
  </r>
  <r>
    <x v="2"/>
    <x v="8"/>
    <s v="A1. interrupción de términos que generan acumulación de actuaciones e incumplimiento normativo"/>
    <x v="8"/>
    <x v="59"/>
  </r>
  <r>
    <x v="2"/>
    <x v="8"/>
    <s v="A2. Demora en las decisiones de segunda instancia."/>
    <x v="8"/>
    <x v="59"/>
  </r>
  <r>
    <x v="2"/>
    <x v="8"/>
    <s v="A3. Riesgo en la pérdida de información reservada tanto por la ubicación geográfica como por la alta circulación de la planta administrativa y estudiantil de la Universidad de Cundinamarca."/>
    <x v="14"/>
    <x v="61"/>
  </r>
  <r>
    <x v="2"/>
    <x v="8"/>
    <s v="A4. Afectación de las actividades propias del proceso debido al cierre de las instalaciones de la Universidad por manifestaciones, marchas estudiantiles, asonadas."/>
    <x v="12"/>
    <x v="53"/>
  </r>
  <r>
    <x v="2"/>
    <x v="15"/>
    <s v="A1. Congestión Judicial que afecta el desarrollo y los tiempos oportunos de respuesta de la Universidad frente al procedimiento AJUP05."/>
    <x v="8"/>
    <x v="59"/>
  </r>
  <r>
    <x v="2"/>
    <x v="15"/>
    <s v="A2. Actos de vandalismo y delincuencia que alteran el orden público, y situaciones de emergencia que afectan el normal desarrollo de las actividades laborales."/>
    <x v="12"/>
    <x v="51"/>
  </r>
  <r>
    <x v="2"/>
    <x v="15"/>
    <s v="A3. No hay una clara interpretación y direccionamiento de los requisitos legales por parte de los entes gubernamentales."/>
    <x v="8"/>
    <x v="54"/>
  </r>
  <r>
    <x v="2"/>
    <x v="15"/>
    <s v="A4. Cuestiones legales, sociales, económicas  y ambientales que puedan afectar la operatividad del proceso"/>
    <x v="8"/>
    <x v="59"/>
  </r>
  <r>
    <x v="2"/>
    <x v="5"/>
    <s v="A1 - Competencia de otras instituciones de investigación"/>
    <x v="9"/>
    <x v="16"/>
  </r>
  <r>
    <x v="2"/>
    <x v="5"/>
    <s v="A2 - Escasa implicación de algunos sectores de la sociedad en los proyectos de investigación regional."/>
    <x v="12"/>
    <x v="53"/>
  </r>
  <r>
    <x v="2"/>
    <x v="5"/>
    <s v="A3 - Las condiciones de contratación que ofrecen otras IES (Instituciones de Educación Superior) para investigadores en la región. "/>
    <x v="9"/>
    <x v="16"/>
  </r>
  <r>
    <x v="2"/>
    <x v="5"/>
    <s v="A4.  Presencia de virus ,pandemias, desastres naturales, Declaración de estado de emergencia Nacionales E Internacionales,  lo cual afecta los procesos de Investigación."/>
    <x v="11"/>
    <x v="55"/>
  </r>
  <r>
    <x v="2"/>
    <x v="5"/>
    <s v="A5. No prestación del Servicio por declaración de insolvencia del proveedor (amenaza generada por ser proveedor Único para este servicio)."/>
    <x v="8"/>
    <x v="59"/>
  </r>
  <r>
    <x v="2"/>
    <x v="5"/>
    <s v="A6. Asignación de códigos DOI duplicados y/o asignado por error en otras publicaciones periódicas y No periódicas."/>
    <x v="14"/>
    <x v="61"/>
  </r>
  <r>
    <x v="2"/>
    <x v="5"/>
    <s v="A7. Pérdida de la información al generar actualizaciones al sistema de revistas electrónicas OJS."/>
    <x v="14"/>
    <x v="61"/>
  </r>
  <r>
    <x v="2"/>
    <x v="5"/>
    <s v="A8. Información erronea y/o incompleta en los certificados de calibración e informes de mantenimiento emitidos por el proveedor externo que realice dichos trabajos a los equipos de medicion a usarse en los proyectos de investigación. "/>
    <x v="10"/>
    <x v="39"/>
  </r>
  <r>
    <x v="2"/>
    <x v="5"/>
    <s v="A9. El instrumento medición deja de funcionar o presenta fallas durante el desarrollo de las actividades en los proyectos de investigación. "/>
    <x v="12"/>
    <x v="53"/>
  </r>
  <r>
    <x v="2"/>
    <x v="12"/>
    <s v="A3. Incumplimiento por parte de los estudiantes en el pago de matrículas fraccionadas."/>
    <x v="13"/>
    <x v="64"/>
  </r>
  <r>
    <x v="2"/>
    <x v="12"/>
    <s v="A4. Presencia de virus ,pandemias, desastres naturales, Declaración de estado de emergencia nacionales E internacionales, paros, bloqueos y/o asonadas, pueden afectar la prestación del servicio."/>
    <x v="11"/>
    <x v="55"/>
  </r>
  <r>
    <x v="2"/>
    <x v="12"/>
    <s v="A5. Duplicidad en la solicitud de tramite para devolución de matricula."/>
    <x v="12"/>
    <x v="63"/>
  </r>
  <r>
    <x v="2"/>
    <x v="12"/>
    <s v="A6. Conflictos por   interpretación y aplicación  de normas transitorias emitidas por contingencias  con efecto de aplicación inmediata.."/>
    <x v="8"/>
    <x v="59"/>
  </r>
  <r>
    <x v="2"/>
    <x v="12"/>
    <s v="A7.Algunas partes interesadas no cuentan con mecanismos digitales para que la Universidad le realice los pagos."/>
    <x v="12"/>
    <x v="53"/>
  </r>
  <r>
    <x v="2"/>
    <x v="12"/>
    <s v="A8. Demoras en los pagos mediante la prestación del servicio desde trabajo en casa por fallas de  factores externos tales como ( fallas en:  Internet, portales bancarios, fluido eléctrico)."/>
    <x v="14"/>
    <x v="57"/>
  </r>
  <r>
    <x v="2"/>
    <x v="17"/>
    <s v="A1. Asonadas por parte de los estudiantes"/>
    <x v="12"/>
    <x v="53"/>
  </r>
  <r>
    <x v="2"/>
    <x v="17"/>
    <s v="A2. Desastres naturales que afecten las instalaciones de la oficina"/>
    <x v="11"/>
    <x v="50"/>
  </r>
  <r>
    <x v="2"/>
    <x v="17"/>
    <s v="A3. Actualización normativa que afecte el desarrollo normal del proceso"/>
    <x v="8"/>
    <x v="25"/>
  </r>
  <r>
    <x v="2"/>
    <x v="17"/>
    <s v="A4. Afectación en la prestación del servicio vía digital por fallas o daños en la red y/o sistema a nivel municipal o regional (Fallas de conectividad a causa de la modalidad trabajo en casa)"/>
    <x v="14"/>
    <x v="57"/>
  </r>
  <r>
    <x v="2"/>
    <x v="3"/>
    <s v="A1. Se presentan casos de vandalismo y delincuencia que alteran el orden público afectando el desarrollo de las actividades."/>
    <x v="12"/>
    <x v="51"/>
  </r>
  <r>
    <x v="2"/>
    <x v="3"/>
    <s v="A2.  La ejecución de las actividades del proceso pueden verse afectadas con la ocurrencia de desastres, fenómenos naturales y/o situaciones de afectación nacional."/>
    <x v="11"/>
    <x v="50"/>
  </r>
  <r>
    <x v="2"/>
    <x v="3"/>
    <s v="A3. Constantes cambios en la normatividad en materia de SST y ambiental."/>
    <x v="8"/>
    <x v="25"/>
  </r>
  <r>
    <x v="2"/>
    <x v="3"/>
    <s v="A4. Inadecuada estructuración de los estudios previos que soportan los Procesos precontractuales ."/>
    <x v="10"/>
    <x v="39"/>
  </r>
  <r>
    <x v="2"/>
    <x v="3"/>
    <s v="A5. Carencia de una cultura de Planeación en las actividades."/>
    <x v="12"/>
    <x v="56"/>
  </r>
  <r>
    <x v="2"/>
    <x v="3"/>
    <s v="A6. Falta fortalecer los canales de comunicación que permitan una articulación entre los procesos."/>
    <x v="12"/>
    <x v="63"/>
  </r>
  <r>
    <x v="2"/>
    <x v="3"/>
    <s v="A7. No informar oportunamente cuando se presentan casos de perdida y/o daños de elementos devolutivos."/>
    <x v="12"/>
    <x v="56"/>
  </r>
  <r>
    <x v="2"/>
    <x v="3"/>
    <s v="A8. Incursión de Universidades extranjeras con programas de pregrado y postgrado con modalidad virtual. "/>
    <x v="9"/>
    <x v="16"/>
  </r>
  <r>
    <x v="2"/>
    <x v="3"/>
    <s v="A9. Reducción del nivel de ingresos del grupo familiar lo que reduce posibilidades de acceso a educación superior."/>
    <x v="12"/>
    <x v="53"/>
  </r>
  <r>
    <x v="2"/>
    <x v="3"/>
    <s v="A10. Se incumplen las actividades de los procedimientos y se generan riesgos de deterioro para la Planta Fisica y Parque Automotor"/>
    <x v="10"/>
    <x v="60"/>
  </r>
  <r>
    <x v="2"/>
    <x v="3"/>
    <s v="A11. Cambios generacionales que dan prioridad a temas diferentes del aspecto conocido como &quot;educación formal&quot;"/>
    <x v="12"/>
    <x v="56"/>
  </r>
  <r>
    <x v="2"/>
    <x v="3"/>
    <s v="A12. Inestabilidad laboral producto de la desaceleración en la economía."/>
    <x v="12"/>
    <x v="53"/>
  </r>
  <r>
    <x v="2"/>
    <x v="3"/>
    <s v="A13. Políticas nacionales educativas. "/>
    <x v="10"/>
    <x v="60"/>
  </r>
  <r>
    <x v="2"/>
    <x v="3"/>
    <s v="A14. Reducción del Presupuesto nacional destinado a las Universidades Públicas."/>
    <x v="13"/>
    <x v="11"/>
  </r>
  <r>
    <x v="2"/>
    <x v="3"/>
    <s v="A15. Carencia de una cultura de autocontrol en la custodia y manejo de la información."/>
    <x v="12"/>
    <x v="56"/>
  </r>
  <r>
    <x v="2"/>
    <x v="3"/>
    <s v="A16. Desconocimiento de las obligaciones y normatividad aplicable  a la prestación del servicio por parte de los proveedores, así como no cumplir con los requisitos minimos exigidos para la prestación del servicio."/>
    <x v="8"/>
    <x v="25"/>
  </r>
  <r>
    <x v="2"/>
    <x v="6"/>
    <s v="A1: Hackers informáticos"/>
    <x v="14"/>
    <x v="61"/>
  </r>
  <r>
    <x v="2"/>
    <x v="6"/>
    <s v="A2: Creación de cuentas en redes sociales por parte de diferentes funcionarios, docentes, estudiantes y egresados de la Universidad, emitiendo información no validada institucionalmente y no oficial."/>
    <x v="12"/>
    <x v="56"/>
  </r>
  <r>
    <x v="2"/>
    <x v="6"/>
    <s v="A3: Inseguridad en el transporte de los equipos de producción audiovisual el cual pone en riesgo de igual manera la integridad del talento humano responsable de salvaguardar los equipos."/>
    <x v="12"/>
    <x v="51"/>
  </r>
  <r>
    <x v="2"/>
    <x v="6"/>
    <s v="A4. Paros, asonadas y bloqueos puesto que restringen la movilidad y afectan la oportunidad en tiempo para cumplimiento de cubrimientos."/>
    <x v="12"/>
    <x v="51"/>
  </r>
  <r>
    <x v="2"/>
    <x v="6"/>
    <s v="A5. Catástrofes naturales"/>
    <x v="11"/>
    <x v="50"/>
  </r>
  <r>
    <x v="2"/>
    <x v="6"/>
    <s v="A6. Nuevas estrategias y modelos para la generación de contenido lo cual hace necesario implementar programas constantes de capacitación"/>
    <x v="9"/>
    <x v="47"/>
  </r>
  <r>
    <x v="2"/>
    <x v="6"/>
    <s v="A7. Cumplimiento de la normatividad nacional, departamental y local por declaración de calamidad pública"/>
    <x v="8"/>
    <x v="25"/>
  </r>
  <r>
    <x v="2"/>
    <x v="6"/>
    <s v="A8. Situaciones fortuitas que ocasionen el no cumplimiento del objeto contractual"/>
    <x v="12"/>
    <x v="51"/>
  </r>
  <r>
    <x v="2"/>
    <x v="9"/>
    <s v="A1. Hackers informáticos."/>
    <x v="14"/>
    <x v="61"/>
  </r>
  <r>
    <x v="2"/>
    <x v="9"/>
    <s v="A2. Sanciones  o multas por incumplimientos. "/>
    <x v="8"/>
    <x v="65"/>
  </r>
  <r>
    <x v="2"/>
    <x v="9"/>
    <s v="A3. Catástrofes naturales."/>
    <x v="11"/>
    <x v="50"/>
  </r>
  <r>
    <x v="2"/>
    <x v="9"/>
    <s v="A4. Paros estudiantiles que afectan la prestación del servicio."/>
    <x v="12"/>
    <x v="51"/>
  </r>
  <r>
    <x v="2"/>
    <x v="9"/>
    <s v="A5. Afectación en la prestación normal del servicio por virus,  pandemias o asonadas. "/>
    <x v="11"/>
    <x v="55"/>
  </r>
  <r>
    <x v="2"/>
    <x v="9"/>
    <s v="A6. Fallas tecnológicas o de conectividad que afectan la comunicación del proceso."/>
    <x v="14"/>
    <x v="57"/>
  </r>
  <r>
    <x v="2"/>
    <x v="19"/>
    <s v="A1. Desconocimiento de la Normatividad Legal vigente."/>
    <x v="8"/>
    <x v="25"/>
  </r>
  <r>
    <x v="2"/>
    <x v="19"/>
    <s v="A2. Acceso fraudulento a sistemas informáticos de la Institución"/>
    <x v="14"/>
    <x v="61"/>
  </r>
  <r>
    <x v="2"/>
    <x v="19"/>
    <s v="A3. Mal uso de los servicios o recursos tecnológicos por parte de los usuarios finales."/>
    <x v="12"/>
    <x v="56"/>
  </r>
  <r>
    <x v="2"/>
    <x v="19"/>
    <s v="A4. Se presentan casos de vandalismo y delincuencia que alteran el orden público afectando el desarrollo de las actividades."/>
    <x v="12"/>
    <x v="51"/>
  </r>
  <r>
    <x v="2"/>
    <x v="19"/>
    <s v="A5.  La ejecución de las actividades del proceso pueden verse afectadas con la ocurrencia de desastres, fenómenos naturales y/o situaciones de afectación nacional."/>
    <x v="11"/>
    <x v="50"/>
  </r>
  <r>
    <x v="2"/>
    <x v="19"/>
    <s v="A6. Ataques informáticos a la Infraestructura Tecnológica"/>
    <x v="14"/>
    <x v="61"/>
  </r>
  <r>
    <x v="2"/>
    <x v="19"/>
    <s v="A7. Acceso Físicos a Centros de Datos sin los controles Adecuados Requeridos."/>
    <x v="14"/>
    <x v="57"/>
  </r>
  <r>
    <x v="2"/>
    <x v="0"/>
    <s v="A1. Hackers y virus informáticos "/>
    <x v="14"/>
    <x v="61"/>
  </r>
  <r>
    <x v="2"/>
    <x v="0"/>
    <s v="A2. Actualizaciones en plataforma del ICFES"/>
    <x v="14"/>
    <x v="57"/>
  </r>
  <r>
    <x v="2"/>
    <x v="0"/>
    <s v="A3. Falta de interés por parte del aspirante en consultar el Instructivo en el portal web."/>
    <x v="12"/>
    <x v="56"/>
  </r>
  <r>
    <x v="2"/>
    <x v="0"/>
    <s v="A4. Fenómenos naturales como inundaciones e incendios"/>
    <x v="11"/>
    <x v="50"/>
  </r>
  <r>
    <x v="2"/>
    <x v="0"/>
    <s v="A5. Paros Estudiantiles (Daños a la infraestructura y al personal de la oficina por manifestaciones de la comunidad universitaria y la comunidad en general)"/>
    <x v="12"/>
    <x v="51"/>
  </r>
  <r>
    <x v="2"/>
    <x v="0"/>
    <s v="A6. El modelo y los tiempos de contratación de la universidad son dispendiosos."/>
    <x v="12"/>
    <x v="56"/>
  </r>
  <r>
    <x v="2"/>
    <x v="0"/>
    <s v="A7. Grupos sociales que emiten información falsa sobre la universidad."/>
    <x v="12"/>
    <x v="63"/>
  </r>
  <r>
    <x v="2"/>
    <x v="0"/>
    <s v="A8. Emergencia sanitaria a causa patógena (COVID-19)"/>
    <x v="11"/>
    <x v="55"/>
  </r>
  <r>
    <x v="2"/>
    <x v="0"/>
    <s v="A9. Daños a la infraestructura y al personal de la oficina por manifestaciones de la comunidad universitaria y la comunidad en general"/>
    <x v="12"/>
    <x v="51"/>
  </r>
  <r>
    <x v="2"/>
    <x v="20"/>
    <s v="A1. Manejo inadecuado de la información por personal diferente a los funcionarios de Talento Humano."/>
    <x v="12"/>
    <x v="56"/>
  </r>
  <r>
    <x v="2"/>
    <x v="20"/>
    <s v="A2. Constantes cambios en la legislación relacionada a la gestión del talento humano"/>
    <x v="8"/>
    <x v="25"/>
  </r>
  <r>
    <x v="2"/>
    <x v="20"/>
    <s v="A3. Fenómenos naturales o causados por el hombre como inundaciones, incendios, manifestaciones, entre otros"/>
    <x v="11"/>
    <x v="50"/>
  </r>
  <r>
    <x v="2"/>
    <x v="20"/>
    <s v="A4. Falsedad en documentos entregados por parte de los funcionarios, como requisitos de contratación."/>
    <x v="12"/>
    <x v="56"/>
  </r>
  <r>
    <x v="2"/>
    <x v="20"/>
    <s v="A5. Falta de información oportuna de las EPS, en relación con los pagos de incapacidades."/>
    <x v="8"/>
    <x v="59"/>
  </r>
  <r>
    <x v="2"/>
    <x v="20"/>
    <s v="A6. Rotación  constante de personal  en los diferentes procesos"/>
    <x v="10"/>
    <x v="39"/>
  </r>
  <r>
    <x v="2"/>
    <x v="20"/>
    <s v="A7. Sanciones o demandas por incumplimiento legal "/>
    <x v="8"/>
    <x v="65"/>
  </r>
  <r>
    <x v="2"/>
    <x v="20"/>
    <s v="A8. Incumplimiento en los tiempos de ejecución y calidad del servicio prestado por el  proveedor contratado. "/>
    <x v="10"/>
    <x v="39"/>
  </r>
  <r>
    <x v="2"/>
    <x v="20"/>
    <s v="A9. Afectación a la salud y la prestación del servicio por virus o pandemias que generen cambios repentinos en las modalidades convencionales de trabajo."/>
    <x v="11"/>
    <x v="55"/>
  </r>
  <r>
    <x v="2"/>
    <x v="21"/>
    <s v="A1. Manejo inadecuado de la información por personal diferente a los funcionarios del SG-SST."/>
    <x v="12"/>
    <x v="63"/>
  </r>
  <r>
    <x v="2"/>
    <x v="21"/>
    <s v="A2. Constantes cambios en la legislación relacionada al SG-SST."/>
    <x v="8"/>
    <x v="25"/>
  </r>
  <r>
    <x v="2"/>
    <x v="21"/>
    <s v="A3. Fenómenos naturales o causados por el hombre como inundaciones, incendios, manifestaciones, entre otros."/>
    <x v="11"/>
    <x v="50"/>
  </r>
  <r>
    <x v="2"/>
    <x v="21"/>
    <s v="A4. Rotación  constante de personal  en los diferentes procesos."/>
    <x v="12"/>
    <x v="53"/>
  </r>
  <r>
    <x v="2"/>
    <x v="21"/>
    <s v="A5. Sanciones o demandas por incumplimiento legal."/>
    <x v="8"/>
    <x v="65"/>
  </r>
  <r>
    <x v="2"/>
    <x v="21"/>
    <s v="A6. Incumplimiento en los tiempos de ejecución y calidad del servicio prestado por el  proveedor contratado. "/>
    <x v="8"/>
    <x v="59"/>
  </r>
  <r>
    <x v="2"/>
    <x v="21"/>
    <s v="A7. Afectación a la salud y la prestación del servicio por virus o pandemias que generen cambios repentinos en las modalidades convencionales de trabajo."/>
    <x v="11"/>
    <x v="55"/>
  </r>
  <r>
    <x v="2"/>
    <x v="22"/>
    <s v="A1. Ofertas laborales que no cumplen con las expectativas de los graduados."/>
    <x v="12"/>
    <x v="53"/>
  </r>
  <r>
    <x v="2"/>
    <x v="22"/>
    <s v="A2. No contar con las autorización para el tratamiento de datos de los graduados de la población tota que impide el relacionamiento oportuno con los graduados."/>
    <x v="14"/>
    <x v="61"/>
  </r>
  <r>
    <x v="2"/>
    <x v="22"/>
    <s v="A3. Ley de Garantías "/>
    <x v="8"/>
    <x v="25"/>
  </r>
  <r>
    <x v="2"/>
    <x v="22"/>
    <s v="A4. Recorte de presupuesto por parte del estado hacia la Universidad"/>
    <x v="13"/>
    <x v="11"/>
  </r>
  <r>
    <x v="2"/>
    <x v="22"/>
    <s v="A5. Hackers informáticos"/>
    <x v="14"/>
    <x v="61"/>
  </r>
  <r>
    <x v="2"/>
    <x v="22"/>
    <s v="A6. Cancelación de los eventos dirigidos a graduados por posibles afectaciones a la  salud o epidemiológicos."/>
    <x v="11"/>
    <x v="55"/>
  </r>
  <r>
    <x v="2"/>
    <x v="22"/>
    <s v="A7. Habeas Data"/>
    <x v="14"/>
    <x v="61"/>
  </r>
  <r>
    <x v="3"/>
    <x v="7"/>
    <s v="O1. Participar activamente en programas de movilidad a nivel bilateral, multilateral y del sector privado."/>
    <x v="9"/>
    <x v="66"/>
  </r>
  <r>
    <x v="3"/>
    <x v="7"/>
    <s v="O2. Invitaciones de las IES extranjeras, para obtener reconocimiento académico a nivel de la comunidad internacional."/>
    <x v="9"/>
    <x v="47"/>
  </r>
  <r>
    <x v="3"/>
    <x v="7"/>
    <s v="O3. Establecer mecanismos para promover la participación de estudiantes y docentes internacionales en los procesos académicos de la Universidad de Cundinamarca."/>
    <x v="9"/>
    <x v="67"/>
  </r>
  <r>
    <x v="3"/>
    <x v="7"/>
    <s v="O4. Aliados estratégicos nacionales e internacionales interesados en programas de doble titulación."/>
    <x v="10"/>
    <x v="30"/>
  </r>
  <r>
    <x v="3"/>
    <x v="7"/>
    <s v="O5. Generar estrategias de cooperación con el proceso de Bienestar universitario y las facultades que permitieron realizar acompañamientos y seguimientos a los intercambistas."/>
    <x v="12"/>
    <x v="68"/>
  </r>
  <r>
    <x v="3"/>
    <x v="7"/>
    <s v="O6. Generación de talleres, Webinars, espacios virtuales con temas de interés para la comunidad académica en general en diferentes idiomas, haciendo uso de las TICs."/>
    <x v="14"/>
    <x v="57"/>
  </r>
  <r>
    <x v="3"/>
    <x v="24"/>
    <s v="O1: Plataforma tecnológica del SACES - CNA"/>
    <x v="14"/>
    <x v="57"/>
  </r>
  <r>
    <x v="3"/>
    <x v="24"/>
    <s v="O2: Documentos externos que soportan los procesos de registro calificado, condiciones iniciales de acreditación de programas, ejercicios de autoevaluación (Normas, Guías)"/>
    <x v="8"/>
    <x v="69"/>
  </r>
  <r>
    <x v="3"/>
    <x v="24"/>
    <s v="O3. Diseño del aplicativo Sistema de Aseguramiento de la Calidad de la Educación Superior - SACES institucional "/>
    <x v="14"/>
    <x v="57"/>
  </r>
  <r>
    <x v="3"/>
    <x v="24"/>
    <s v="O4. Implementación del nuevo modelo de acreditación en la institución"/>
    <x v="9"/>
    <x v="47"/>
  </r>
  <r>
    <x v="3"/>
    <x v="24"/>
    <s v="O5. Acreditación de los programas académicos en sede, seccionales y extensiones"/>
    <x v="9"/>
    <x v="47"/>
  </r>
  <r>
    <x v="3"/>
    <x v="24"/>
    <s v="O6. Ampliación de los tiempos para el desarrollo de los planes de mejoramiento producto de la autoevaluación"/>
    <x v="8"/>
    <x v="59"/>
  </r>
  <r>
    <x v="3"/>
    <x v="10"/>
    <s v="O1. Masificación del uso de las redes sociales."/>
    <x v="14"/>
    <x v="57"/>
  </r>
  <r>
    <x v="3"/>
    <x v="10"/>
    <s v="O2. Amplio mercado de entidades públicas para la búsqueda de celebración de contratos."/>
    <x v="9"/>
    <x v="67"/>
  </r>
  <r>
    <x v="3"/>
    <x v="16"/>
    <s v="O1. Inversión Pública y Privada para emprender convenios, proyectos de Investigación, Desarrollo, Innovación y Postconflicto"/>
    <x v="13"/>
    <x v="52"/>
  </r>
  <r>
    <x v="3"/>
    <x v="16"/>
    <s v="O2. Cooperación Interinstitucional con Gobierno, Ministerio, Función Pública y Entidades Públicas y Privadas"/>
    <x v="10"/>
    <x v="30"/>
  </r>
  <r>
    <x v="3"/>
    <x v="16"/>
    <s v="O3. Posibilidad de crear y fortalecer nuevas alianzas estratégicas con instituciones de educación superior."/>
    <x v="9"/>
    <x v="47"/>
  </r>
  <r>
    <x v="3"/>
    <x v="16"/>
    <s v="O4. La implementación de políticas misionales encaminadas al desarrollo institucional (Ciencia, Tecnología e Investigación, Dialogando con el Mundo, Interacción Social Universitaria, Inclusión entre otras)"/>
    <x v="10"/>
    <x v="60"/>
  </r>
  <r>
    <x v="3"/>
    <x v="13"/>
    <s v="O1. Demanda de profesionales en la región."/>
    <x v="9"/>
    <x v="70"/>
  </r>
  <r>
    <x v="3"/>
    <x v="13"/>
    <s v="O2 Demanda de programas de postgrado virtuales"/>
    <x v="9"/>
    <x v="70"/>
  </r>
  <r>
    <x v="3"/>
    <x v="13"/>
    <s v="O3. Normatividad establecida para la acreditación de programas académicos e institucional"/>
    <x v="8"/>
    <x v="25"/>
  </r>
  <r>
    <x v="3"/>
    <x v="13"/>
    <s v="O4. Dimensión naturaleza en el despliegue del MEDIT_x000a_Disponibilidad, necesidad de conservación y uso de recursos naturales"/>
    <x v="12"/>
    <x v="68"/>
  </r>
  <r>
    <x v="3"/>
    <x v="13"/>
    <s v="O5 Ubicación estratégica de la Universidad en la región "/>
    <x v="9"/>
    <x v="47"/>
  </r>
  <r>
    <x v="3"/>
    <x v="13"/>
    <s v="O6. Alta demanda de graduados para la oferta de posgrados "/>
    <x v="9"/>
    <x v="70"/>
  </r>
  <r>
    <x v="3"/>
    <x v="13"/>
    <s v="O7. Alta posibilidad de alianzas estratégicas - convenios interinstitucionales e internacionales"/>
    <x v="9"/>
    <x v="47"/>
  </r>
  <r>
    <x v="3"/>
    <x v="13"/>
    <s v="O8. Disponibilidad y cualificación en el uso y apropiación de tecnologías."/>
    <x v="14"/>
    <x v="57"/>
  </r>
  <r>
    <x v="3"/>
    <x v="13"/>
    <s v="O9. Actualización e implementación de normatividad legal aplicable"/>
    <x v="8"/>
    <x v="25"/>
  </r>
  <r>
    <x v="3"/>
    <x v="13"/>
    <s v="O10. Proyección de nueva oferta académica para la sedes y seccionales"/>
    <x v="9"/>
    <x v="67"/>
  </r>
  <r>
    <x v="3"/>
    <x v="13"/>
    <s v="O11. Cumplimiento de la promesa de valor de la Universidad"/>
    <x v="8"/>
    <x v="49"/>
  </r>
  <r>
    <x v="3"/>
    <x v="13"/>
    <s v="O12. Apropiación de la licencia suite adobe"/>
    <x v="14"/>
    <x v="57"/>
  </r>
  <r>
    <x v="3"/>
    <x v="13"/>
    <s v="O13. Examen clasificatorio de Inglés para profesores (Placement test UCundinamarca Professors) y estudiantes (Placement test) (Marco Común Europeo)"/>
    <x v="12"/>
    <x v="68"/>
  </r>
  <r>
    <x v="3"/>
    <x v="13"/>
    <s v="O14.Implementación de estrategias que motiven a los estudiantes en el proceso de aprendizaje de la segunda lengua en los programas de pregrado y postgrados"/>
    <x v="10"/>
    <x v="48"/>
  </r>
  <r>
    <x v="3"/>
    <x v="13"/>
    <s v="O15. Implementar un proceso a través de plataforma para poder presentar el examen de suficiencia de ingles (Postgrados)"/>
    <x v="14"/>
    <x v="57"/>
  </r>
  <r>
    <x v="3"/>
    <x v="13"/>
    <s v="O16. Contar con recursos para el fortalecimiento del marketing digital en programas de postgrado"/>
    <x v="9"/>
    <x v="67"/>
  </r>
  <r>
    <x v="3"/>
    <x v="13"/>
    <s v="O17. Implementación de la estrategia aseguramiento del aprendizaje _x000a_(Acuerdo consejo académico 07 de 2020)"/>
    <x v="8"/>
    <x v="69"/>
  </r>
  <r>
    <x v="3"/>
    <x v="13"/>
    <s v="O18. Proyección del CAD y del club deportivo como centro de desarrollo deportivo a nivel nacional"/>
    <x v="9"/>
    <x v="47"/>
  </r>
  <r>
    <x v="3"/>
    <x v="13"/>
    <s v="O19. Creación de nuevas disciplinas de entrenamiento al interior del club deportivo"/>
    <x v="9"/>
    <x v="67"/>
  </r>
  <r>
    <x v="3"/>
    <x v="13"/>
    <s v="O20. Incremento de la venta de servicios"/>
    <x v="9"/>
    <x v="67"/>
  </r>
  <r>
    <x v="3"/>
    <x v="13"/>
    <s v="O21. Mejoramiento de la infraestructura"/>
    <x v="12"/>
    <x v="68"/>
  </r>
  <r>
    <x v="3"/>
    <x v="13"/>
    <s v="O22. Posibilidad de generar alianzas con otras instituciones"/>
    <x v="10"/>
    <x v="30"/>
  </r>
  <r>
    <x v="3"/>
    <x v="13"/>
    <s v="O23. Lograr la autorización para la realización de eventos de tipo social"/>
    <x v="9"/>
    <x v="67"/>
  </r>
  <r>
    <x v="3"/>
    <x v="4"/>
    <s v="O1. Apoyo del Gobierno Local y Entes Externos en campañas de Bienestar para los estudiantes"/>
    <x v="10"/>
    <x v="30"/>
  </r>
  <r>
    <x v="3"/>
    <x v="4"/>
    <s v="O2. Lineamientos de acreditación de programas e institucional, que permitan la aplicación y operación en el proceso."/>
    <x v="8"/>
    <x v="69"/>
  </r>
  <r>
    <x v="3"/>
    <x v="4"/>
    <s v="O3 . Posibilidad de crear y fortalecer nuevas alianzas y/o convenios estratégicos con empresas e instituciones de educación superior."/>
    <x v="9"/>
    <x v="47"/>
  </r>
  <r>
    <x v="3"/>
    <x v="4"/>
    <s v="O4. Estudiantes motivados a participar en las actividades suministradas por Bienestar."/>
    <x v="12"/>
    <x v="68"/>
  </r>
  <r>
    <x v="3"/>
    <x v="4"/>
    <s v="O5. Perfiles profesionales de Talento Humano enfocados a tratar temas de permanencia en los estudiantes"/>
    <x v="12"/>
    <x v="68"/>
  </r>
  <r>
    <x v="3"/>
    <x v="4"/>
    <s v="O6. Plan Rectoral y Plan de Desarrollo encaminados a fortalecer la labor de Bienestar Universitario como pilar fundamental de la gestión universitaria en los próximos 4 años"/>
    <x v="10"/>
    <x v="60"/>
  </r>
  <r>
    <x v="3"/>
    <x v="4"/>
    <s v="O7. Accesibilidad a capacitaciones con Entes Externos."/>
    <x v="12"/>
    <x v="68"/>
  </r>
  <r>
    <x v="3"/>
    <x v="11"/>
    <s v="O1. Ley 594 de 2000 y Normas concordantes."/>
    <x v="8"/>
    <x v="25"/>
  </r>
  <r>
    <x v="3"/>
    <x v="11"/>
    <s v="O2. Mayor entrada de recursos por estampilla."/>
    <x v="13"/>
    <x v="11"/>
  </r>
  <r>
    <x v="3"/>
    <x v="11"/>
    <s v="O3. Actualización normativa."/>
    <x v="8"/>
    <x v="25"/>
  </r>
  <r>
    <x v="3"/>
    <x v="11"/>
    <s v="O4. Apropiación de Políticas de ahorro de papel."/>
    <x v="10"/>
    <x v="60"/>
  </r>
  <r>
    <x v="3"/>
    <x v="11"/>
    <s v="O5. Adquisición de nuevo equipos y aplicativos para la digitalización y conservación del archivo"/>
    <x v="14"/>
    <x v="71"/>
  </r>
  <r>
    <x v="3"/>
    <x v="11"/>
    <s v="O6. Implementación de los instrumentos archivísticos"/>
    <x v="14"/>
    <x v="71"/>
  </r>
  <r>
    <x v="3"/>
    <x v="25"/>
    <s v="O1. Amplia oferta de empresas consultoras"/>
    <x v="9"/>
    <x v="67"/>
  </r>
  <r>
    <x v="3"/>
    <x v="25"/>
    <s v="O2. Software de SGC en el mercado "/>
    <x v="14"/>
    <x v="71"/>
  </r>
  <r>
    <x v="3"/>
    <x v="25"/>
    <s v="O3. Nueva orientación de la documentación en las nuevas versiones de ISO Estructura alto nivel"/>
    <x v="8"/>
    <x v="69"/>
  </r>
  <r>
    <x v="3"/>
    <x v="25"/>
    <s v="O4. Lineamientos de acreditación de programas e institucional, que permitan la aplicación y operación en el proceso."/>
    <x v="8"/>
    <x v="69"/>
  </r>
  <r>
    <x v="3"/>
    <x v="25"/>
    <s v="O5. Fortalecimiento de la inspección, vigilancia y control en Colombia."/>
    <x v="8"/>
    <x v="65"/>
  </r>
  <r>
    <x v="3"/>
    <x v="3"/>
    <s v="O1. Accesibilidad Capacitaciones con Entes Externos"/>
    <x v="9"/>
    <x v="67"/>
  </r>
  <r>
    <x v="3"/>
    <x v="3"/>
    <s v="O2. Fortalecimiento de los canales de comunicación con los Proveedores"/>
    <x v="9"/>
    <x v="47"/>
  </r>
  <r>
    <x v="3"/>
    <x v="3"/>
    <s v="O3. Formulación de proyectos de inversión orientados a la eliminación de barreras arquitectónicas y otros elementos inclusivos."/>
    <x v="10"/>
    <x v="60"/>
  </r>
  <r>
    <x v="3"/>
    <x v="3"/>
    <s v="O4. Optimización del Uso de las Tecnologías de la información disponibles"/>
    <x v="14"/>
    <x v="71"/>
  </r>
  <r>
    <x v="3"/>
    <x v="3"/>
    <s v="O5. Los lineamientos de acreditación pueden fortalecer aspectos como la infraestructura y la gestión administrativa de la Institución."/>
    <x v="8"/>
    <x v="69"/>
  </r>
  <r>
    <x v="3"/>
    <x v="3"/>
    <s v="O6. La normatividad legal, reglamentación interna y los tiempos de aplicación en la contratación son conocidos y ejecutados por la Institución."/>
    <x v="8"/>
    <x v="25"/>
  </r>
  <r>
    <x v="3"/>
    <x v="3"/>
    <s v="O7. Oportunidad de adquirir nuevos softwares que optimicen las actividades del proceso."/>
    <x v="14"/>
    <x v="71"/>
  </r>
  <r>
    <x v="3"/>
    <x v="9"/>
    <s v="O1. Modelo Integrado de Planeación y Gestión."/>
    <x v="8"/>
    <x v="25"/>
  </r>
  <r>
    <x v="3"/>
    <x v="9"/>
    <s v="O2. Calificación del furag."/>
    <x v="8"/>
    <x v="65"/>
  </r>
  <r>
    <x v="3"/>
    <x v="9"/>
    <s v="O3. Sistematización del procedimiento de auditoría."/>
    <x v="14"/>
    <x v="61"/>
  </r>
  <r>
    <x v="3"/>
    <x v="9"/>
    <s v="O4. Gestión de recursos mediante la asignación de caja menor al proceso."/>
    <x v="13"/>
    <x v="64"/>
  </r>
  <r>
    <x v="3"/>
    <x v="9"/>
    <s v="O5. Integralidad del plan de auditoria teniendo en cuenta seccionales y extensiones."/>
    <x v="8"/>
    <x v="59"/>
  </r>
  <r>
    <x v="3"/>
    <x v="9"/>
    <s v="O6. Acceso a las bases de datos de la universidad ( legiscol y otras )"/>
    <x v="14"/>
    <x v="61"/>
  </r>
  <r>
    <x v="3"/>
    <x v="9"/>
    <s v="O7. Teletrabajo o Trabajo desde casa."/>
    <x v="8"/>
    <x v="69"/>
  </r>
  <r>
    <x v="3"/>
    <x v="9"/>
    <s v="O8. Resultados de las Auditorias de ICONTEC."/>
    <x v="8"/>
    <x v="65"/>
  </r>
  <r>
    <x v="3"/>
    <x v="5"/>
    <s v="O1 - Convocatorias externas permanentes para financiar proyectos de investigación "/>
    <x v="9"/>
    <x v="67"/>
  </r>
  <r>
    <x v="3"/>
    <x v="5"/>
    <s v="O2 - Convocatorias externas para acceder a los recursos  que fortalezcan el proceso de investigación en la Universidad de Cundinamarca. "/>
    <x v="9"/>
    <x v="47"/>
  </r>
  <r>
    <x v="3"/>
    <x v="5"/>
    <s v="O3 - Problemáticas de las regiones"/>
    <x v="12"/>
    <x v="68"/>
  </r>
  <r>
    <x v="3"/>
    <x v="5"/>
    <s v="O4- Por ser una universidad regional y de provincia, es requerida para participar en proyectos de investigación con otras entidades. "/>
    <x v="9"/>
    <x v="47"/>
  </r>
  <r>
    <x v="3"/>
    <x v="5"/>
    <s v="O5 - Creciente implantación de universidades privadas en la provincia, para posibles alianzas estratégicas. "/>
    <x v="9"/>
    <x v="66"/>
  </r>
  <r>
    <x v="3"/>
    <x v="5"/>
    <s v="O6 - Participación en eventos científicos nacionales e internacionales para semilleristas y docentes investigadores"/>
    <x v="9"/>
    <x v="47"/>
  </r>
  <r>
    <x v="3"/>
    <x v="5"/>
    <s v="O7 - Participación en la secretaria de Ciencia, tecnología e Innovación del Departamento de Cundinamarca."/>
    <x v="9"/>
    <x v="47"/>
  </r>
  <r>
    <x v="3"/>
    <x v="5"/>
    <s v="O8 - Adquisición de nuevos software que optimicen las actividades del proceso"/>
    <x v="14"/>
    <x v="71"/>
  </r>
  <r>
    <x v="3"/>
    <x v="5"/>
    <s v="O9- Conformación de la Editorial de la Universidad de Cundinamarca"/>
    <x v="9"/>
    <x v="47"/>
  </r>
  <r>
    <x v="3"/>
    <x v="5"/>
    <s v="O10- Convocatorias externas al Sistema General de Regalías "/>
    <x v="8"/>
    <x v="25"/>
  </r>
  <r>
    <x v="3"/>
    <x v="5"/>
    <s v="O11- Alianzas estratégicas con otras instituciones para el fortalecimiento de Ciencia, Tecnología e Innovación. "/>
    <x v="9"/>
    <x v="47"/>
  </r>
  <r>
    <x v="3"/>
    <x v="5"/>
    <s v="O12- Internacionalización de la Investigación "/>
    <x v="9"/>
    <x v="47"/>
  </r>
  <r>
    <x v="3"/>
    <x v="5"/>
    <s v="O13 - Aumento de recursos financieros para la Universidad (estampilla, de la Nación, Ciencia, Tecnología e Innovación)"/>
    <x v="13"/>
    <x v="11"/>
  </r>
  <r>
    <x v="3"/>
    <x v="5"/>
    <s v="O14. Construcción del CAI (Campo de Aprendizaje Institucional) de CTI."/>
    <x v="12"/>
    <x v="68"/>
  </r>
  <r>
    <x v="3"/>
    <x v="1"/>
    <s v="O1. Amplia oferta en el mercado de elementos, y equipos que permiten dotar, actualizar  y modernizar los espacios académicos."/>
    <x v="9"/>
    <x v="67"/>
  </r>
  <r>
    <x v="3"/>
    <x v="1"/>
    <s v="O2. Participación en redes académicas."/>
    <x v="9"/>
    <x v="67"/>
  </r>
  <r>
    <x v="3"/>
    <x v="1"/>
    <s v="O3. Posibilidad de crear y fortalecer nuevas alianzas interbibliotecarias."/>
    <x v="9"/>
    <x v="47"/>
  </r>
  <r>
    <x v="3"/>
    <x v="1"/>
    <s v="O4. Capacitación por entes externos a funcionarios y docentes de la institución en materia de inclusión"/>
    <x v="12"/>
    <x v="68"/>
  </r>
  <r>
    <x v="3"/>
    <x v="1"/>
    <s v="O5. Participación en eventos y ferias agroindustriales (ganadería)."/>
    <x v="9"/>
    <x v="47"/>
  </r>
  <r>
    <x v="3"/>
    <x v="14"/>
    <s v="O1. Alto Potencial de demanda de servicios de la Oficina a través de las Decanaturas y Oficinas."/>
    <x v="9"/>
    <x v="70"/>
  </r>
  <r>
    <x v="3"/>
    <x v="14"/>
    <s v="O2. Reconocimiento y competitividad que tiene la Universidad a nivel local y regional."/>
    <x v="9"/>
    <x v="47"/>
  </r>
  <r>
    <x v="3"/>
    <x v="14"/>
    <s v="O3. Posibilidad de crear alianzas o convenios empresariales con entidades públicas o privadas para el desarrollo de la Política de Interacción Social Universitaria en la región."/>
    <x v="9"/>
    <x v="47"/>
  </r>
  <r>
    <x v="3"/>
    <x v="14"/>
    <s v="O4. Amplio Nicho de mercado sin ser atendido."/>
    <x v="12"/>
    <x v="68"/>
  </r>
  <r>
    <x v="3"/>
    <x v="14"/>
    <s v="O5. Necesidad de transferir conocimientos por parte de las Instituciones de Educación Superior a la sociedad."/>
    <x v="12"/>
    <x v="68"/>
  </r>
  <r>
    <x v="3"/>
    <x v="14"/>
    <s v="O6. Oferta de pasantes para el apoyo en la ejecución de las actividades del proceso."/>
    <x v="12"/>
    <x v="68"/>
  </r>
  <r>
    <x v="3"/>
    <x v="14"/>
    <s v="O7. Tecnologías de la información disponibles en la Institución que permitan optimizar las actividades que realiza actualmente el proceso."/>
    <x v="14"/>
    <x v="71"/>
  </r>
  <r>
    <x v="3"/>
    <x v="14"/>
    <s v="O8. Herramientas de medición encaminadas a conocer el contexto y el aumento de controles (entre otros), que le generen valor al proceso y permitan la toma de decisiones"/>
    <x v="14"/>
    <x v="71"/>
  </r>
  <r>
    <x v="3"/>
    <x v="14"/>
    <s v="O9. Accesibilidad de la comunidad universitaria a canales de comunicación como redes sociales y plataformas digitales"/>
    <x v="12"/>
    <x v="63"/>
  </r>
  <r>
    <x v="3"/>
    <x v="14"/>
    <s v="O10. La implementación de políticas misionales encaminadas al desarrollo institucional (Ciencia, Tecnología e Investigación, Dialogando con el Mundo, Interacción Social Universitaria, Inclusión entre otras)"/>
    <x v="10"/>
    <x v="60"/>
  </r>
  <r>
    <x v="3"/>
    <x v="14"/>
    <s v="O11. Redes en las cuales tiene presencia la universidad como ASCUN o FODESEP para fortalecer la competencia de los funcionarios en temas relacionados con el proceso"/>
    <x v="9"/>
    <x v="47"/>
  </r>
  <r>
    <x v="3"/>
    <x v="8"/>
    <s v="O1. Apoyo normativo por parte de los entes de control (conceptos, remisión, quejas por competencias)."/>
    <x v="8"/>
    <x v="65"/>
  </r>
  <r>
    <x v="3"/>
    <x v="8"/>
    <s v="O2. Socialización realizada en periodos cortos por parte del equipo de trabajo de Control Interno Disciplinario, a fin de fortalecer criterios normativos y operativos dentro de la Direccion. "/>
    <x v="12"/>
    <x v="63"/>
  </r>
  <r>
    <x v="3"/>
    <x v="15"/>
    <s v="O1. Libre acceso a Jurisprudencia aplicable al proceso."/>
    <x v="10"/>
    <x v="30"/>
  </r>
  <r>
    <x v="3"/>
    <x v="15"/>
    <s v="O2 Solicitud de conceptos a Entes de Control y diferentes Órganos de Gobierno que permitan orientar los conceptos y la Gestión realizada por el Proceso."/>
    <x v="10"/>
    <x v="30"/>
  </r>
  <r>
    <x v="3"/>
    <x v="0"/>
    <s v="O1. Demanda en la Educación virtual en programas de Postgrado."/>
    <x v="9"/>
    <x v="70"/>
  </r>
  <r>
    <x v="3"/>
    <x v="0"/>
    <s v="O2. Becas otorgadas por convenios interinstitucionales."/>
    <x v="10"/>
    <x v="30"/>
  </r>
  <r>
    <x v="3"/>
    <x v="0"/>
    <s v="O3. Ofertar nuevos programas académicos teniendo en cuenta las necesidades del sector."/>
    <x v="9"/>
    <x v="67"/>
  </r>
  <r>
    <x v="3"/>
    <x v="0"/>
    <s v="O4. Articulación y apoyo con otras entidades (publicas y/o privadas)."/>
    <x v="9"/>
    <x v="47"/>
  </r>
  <r>
    <x v="3"/>
    <x v="0"/>
    <s v="O5. Alianzas estratégicas con empresas e instituciones de educación superior"/>
    <x v="9"/>
    <x v="47"/>
  </r>
  <r>
    <x v="3"/>
    <x v="0"/>
    <s v="O6. Participación en ferias y actividades de oferta académica"/>
    <x v="9"/>
    <x v="47"/>
  </r>
  <r>
    <x v="3"/>
    <x v="20"/>
    <s v="O1. Apoyo de caja de compensación familiar para actividades de capacitación y de bienestar social laboral"/>
    <x v="12"/>
    <x v="68"/>
  </r>
  <r>
    <x v="3"/>
    <x v="20"/>
    <s v="O2. Oferta en el mercado nuevos sistemas de información para la liquidación de nomina "/>
    <x v="14"/>
    <x v="57"/>
  </r>
  <r>
    <x v="3"/>
    <x v="20"/>
    <s v="O3. Oferta en el mercado de operador para realizar los pagos de seguridad social y parafiscales"/>
    <x v="14"/>
    <x v="57"/>
  </r>
  <r>
    <x v="3"/>
    <x v="20"/>
    <s v="O4. Posibilidad de utilizar la plataforma de EPS en línea para realizar afiliaciones"/>
    <x v="14"/>
    <x v="57"/>
  </r>
  <r>
    <x v="3"/>
    <x v="20"/>
    <s v="O5. Estudiantes de ultimo semestre de carreras afines al Proceso que puedan realizar sus pasantías y funcionarios que puedan apoyar el desarrollo de las actividades programadas por la Dirección de Talento Humano."/>
    <x v="12"/>
    <x v="68"/>
  </r>
  <r>
    <x v="3"/>
    <x v="20"/>
    <s v="O6. Contar con la colaboración de empresas aliadas comercialmente con la Universidad que dentro de sus actividades proporcionen su colaboración en actividades plasmadas por la oficina EPS, ARL, Cajas de Compensación"/>
    <x v="12"/>
    <x v="68"/>
  </r>
  <r>
    <x v="3"/>
    <x v="20"/>
    <s v="O7. Trabajo articulado con la Oficina de Atención al Ciudadano en pro del servicio al cliente interno"/>
    <x v="10"/>
    <x v="30"/>
  </r>
  <r>
    <x v="3"/>
    <x v="20"/>
    <s v="O8. Trabajo articulado con la Oficina Asesora de Comunicaciones para trabajar temas de Clima y Cultura Organizacional"/>
    <x v="10"/>
    <x v="30"/>
  </r>
  <r>
    <x v="3"/>
    <x v="6"/>
    <s v="O1: Posibilidad de Certificar la Web Institución "/>
    <x v="9"/>
    <x v="47"/>
  </r>
  <r>
    <x v="3"/>
    <x v="6"/>
    <s v="O2: Espacios publicitarios que se pueden adquirir en los especiales de educación de los medios de comunicación con cobertura nacional"/>
    <x v="12"/>
    <x v="63"/>
  </r>
  <r>
    <x v="3"/>
    <x v="6"/>
    <s v="O3: Posibilidad de generar relaciones interinstitucionales con universidades del país e instituciones académicas a nivel mundial."/>
    <x v="9"/>
    <x v="47"/>
  </r>
  <r>
    <x v="3"/>
    <x v="6"/>
    <s v="O4: Posicionamiento de redes sociales de la institución como un medio de comunicación masivo "/>
    <x v="14"/>
    <x v="57"/>
  </r>
  <r>
    <x v="3"/>
    <x v="6"/>
    <s v="O5. Posibilidad de adquirir equipos tecnológicos acordes a las necesidades del mercado de las comunicaciones"/>
    <x v="14"/>
    <x v="71"/>
  </r>
  <r>
    <x v="3"/>
    <x v="6"/>
    <s v="O6. Crear un manual de redacción y estilo para la página web"/>
    <x v="12"/>
    <x v="68"/>
  </r>
  <r>
    <x v="3"/>
    <x v="6"/>
    <s v="O7. Capacitación sobre el desarrollo de contenido inclusivo, dentro de ello se tiene proyectada la aplicación de subtítulos en los videos"/>
    <x v="12"/>
    <x v="68"/>
  </r>
  <r>
    <x v="3"/>
    <x v="6"/>
    <s v="O8. Contar con una herramienta que permita medir la percepción de las partes interesadas frente a los diferentes medios institucionales"/>
    <x v="14"/>
    <x v="71"/>
  </r>
  <r>
    <x v="3"/>
    <x v="17"/>
    <s v="O1. Capacitaciones con Entes Externos"/>
    <x v="9"/>
    <x v="67"/>
  </r>
  <r>
    <x v="3"/>
    <x v="17"/>
    <s v="O2. Adquisición de nuevos equipos  y/o servicios tecnológicos (Oferta en el mercado de chats interactivos más prácticos y eficientes que permitan también generar informes estadísticos)"/>
    <x v="14"/>
    <x v="71"/>
  </r>
  <r>
    <x v="3"/>
    <x v="17"/>
    <s v="O3. Certificaciones por entes externos por el buen desempeño y labor de la universidad en la ejecución de sus actividades."/>
    <x v="9"/>
    <x v="47"/>
  </r>
  <r>
    <x v="3"/>
    <x v="17"/>
    <s v="O4. Capacitaciones en cultura de servicio y neurolingüística con enfoque inclusivo."/>
    <x v="12"/>
    <x v="68"/>
  </r>
  <r>
    <x v="3"/>
    <x v="19"/>
    <s v="O1. Articulación con la Subdirección de Seguridad y Privacidad de la información, del Ministerio de Tecnologías de Información y Comunicación - Min TIC en la implementación de la Norma ISO 27001:2013 "/>
    <x v="8"/>
    <x v="25"/>
  </r>
  <r>
    <x v="3"/>
    <x v="19"/>
    <s v="O2. Apoyos a través de la modalidad virtual en temas de Gobierno Digital y Protección de Datos por parte de Min TIC y Superintendencia de Industria y Comercio"/>
    <x v="14"/>
    <x v="57"/>
  </r>
  <r>
    <x v="3"/>
    <x v="19"/>
    <s v="O3. La articulación y el apoyo con otras entidades es asertivo y eficiente."/>
    <x v="9"/>
    <x v="66"/>
  </r>
  <r>
    <x v="3"/>
    <x v="19"/>
    <s v="O4. Los lineamientos de acreditación pueden fortalecer aspectos como la infraestructura tecnológica y la gestión administrativa de la Institución."/>
    <x v="14"/>
    <x v="71"/>
  </r>
  <r>
    <x v="3"/>
    <x v="19"/>
    <s v="O5. Oportunidad de adquirir nuevos softwares que optimicen las actividades del proceso."/>
    <x v="14"/>
    <x v="71"/>
  </r>
  <r>
    <x v="3"/>
    <x v="19"/>
    <s v="O6.  La implementación de políticas misionales encaminadas al desarrollo institucional (Ciencia, Tecnología e Investigación, Dialogando con el Mundo, Interacción Social "/>
    <x v="10"/>
    <x v="60"/>
  </r>
  <r>
    <x v="3"/>
    <x v="19"/>
    <s v="O7.  Diversidad de la población Universitaria que puede acceder a los contenidos tecnológicos de la Institución"/>
    <x v="12"/>
    <x v="68"/>
  </r>
  <r>
    <x v="3"/>
    <x v="12"/>
    <s v="O1. Capacitación permanente a los directivos de el área financiera con entidades altamente calificada."/>
    <x v="12"/>
    <x v="68"/>
  </r>
  <r>
    <x v="3"/>
    <x v="12"/>
    <s v="O2. El proceso hace uso de la oferta de pasantes que tiene la universidad"/>
    <x v="12"/>
    <x v="68"/>
  </r>
  <r>
    <x v="3"/>
    <x v="12"/>
    <s v="O3. posibilidad de actualización tecnológica."/>
    <x v="14"/>
    <x v="71"/>
  </r>
  <r>
    <x v="3"/>
    <x v="12"/>
    <s v="O4.Gestion con entidades bancarias para logran la ejecución de pagos a la comunidad en general de forma oportuna "/>
    <x v="10"/>
    <x v="30"/>
  </r>
  <r>
    <x v="3"/>
    <x v="12"/>
    <s v="O5 Sistematización del procedimiento devolución de matricula con la participacion de areas como Vicerrectoria Administrativa y Financiera, Admisiones y Registro, Educacion Continuada, Tesoreria, Apoyo Financiero y Posgrados."/>
    <x v="12"/>
    <x v="68"/>
  </r>
  <r>
    <x v="3"/>
    <x v="12"/>
    <s v="O6. Realizar capacitación a los supervisores de contratos segun modalidad, en relación al cumplimiento de las directrices establecidos en el manual de contratación (requisitos de pago)."/>
    <x v="12"/>
    <x v="68"/>
  </r>
  <r>
    <x v="3"/>
    <x v="21"/>
    <s v="O1. Estudiantes de ultimo semestre de carreras afines al Proceso que puedan realizar sus pasantías y funcionarios que puedan apoyar el desarrollo de las actividades programadas por SG-SST."/>
    <x v="12"/>
    <x v="68"/>
  </r>
  <r>
    <x v="3"/>
    <x v="21"/>
    <s v="O2. Contar con la colaboración de empresas aliadas comercialmente con la Universidad que dentro de sus actividades proporciones su colaboración en actividades plasmadas por la oficina EPS, ARL cajas de compensación"/>
    <x v="10"/>
    <x v="30"/>
  </r>
  <r>
    <x v="3"/>
    <x v="21"/>
    <s v="O3. Fortalecimiento en la cultura de autocuidado en las partes interesadas de la Universidad."/>
    <x v="12"/>
    <x v="56"/>
  </r>
  <r>
    <x v="3"/>
    <x v="21"/>
    <s v="O4. Apropiación de los hábitos de vida saludables."/>
    <x v="12"/>
    <x v="56"/>
  </r>
  <r>
    <x v="3"/>
    <x v="21"/>
    <s v="O5. Generar estricto cumplimiento de las incapacidades  y recomendaciones medicas."/>
    <x v="8"/>
    <x v="69"/>
  </r>
  <r>
    <x v="3"/>
    <x v="21"/>
    <s v="O6. Desarrollo de actividades  con otras instituciones  fortaleciendo el plan de  ayuda mutua."/>
    <x v="10"/>
    <x v="30"/>
  </r>
  <r>
    <x v="3"/>
    <x v="21"/>
    <s v="O7. Promoción del SG SST en todos los centros de trabajo."/>
    <x v="10"/>
    <x v="48"/>
  </r>
  <r>
    <x v="3"/>
    <x v="21"/>
    <s v="O8. Trabajo articulado con la Oficina de Atención al Ciudadano en pro del servicio al cliente interno."/>
    <x v="10"/>
    <x v="30"/>
  </r>
  <r>
    <x v="3"/>
    <x v="22"/>
    <s v="O1. Sector productivo de la región en busca de profesionales."/>
    <x v="9"/>
    <x v="70"/>
  </r>
  <r>
    <x v="3"/>
    <x v="22"/>
    <s v="O2. Búsqueda de alianzas por parte de la institución con las empresas."/>
    <x v="10"/>
    <x v="30"/>
  </r>
  <r>
    <x v="3"/>
    <x v="22"/>
    <s v="O3. Requisitos del CNA"/>
    <x v="8"/>
    <x v="69"/>
  </r>
  <r>
    <x v="3"/>
    <x v="22"/>
    <s v="O4. Buenas practicas de otras universidades seguimiento a graduados."/>
    <x v="9"/>
    <x v="47"/>
  </r>
  <r>
    <x v="3"/>
    <x v="22"/>
    <s v="O5. Ofertas de convenios potenciales en el mercado."/>
    <x v="9"/>
    <x v="67"/>
  </r>
  <r>
    <x v="3"/>
    <x v="22"/>
    <s v="O6. Adquisición e implementación de nuevos herramientas  tecnológicos "/>
    <x v="14"/>
    <x v="57"/>
  </r>
  <r>
    <x v="3"/>
    <x v="22"/>
    <s v="O7. Brindar a los graduados la oportunidad de participar en talleres, seminarios, Diplomados dictados por docentes internacionales."/>
    <x v="9"/>
    <x v="67"/>
  </r>
  <r>
    <x v="3"/>
    <x v="22"/>
    <s v="O8. Brindar al graduado la oportunidad capacitarse para realizar emprendimientos teniendo en cuenta los avances tecnológicos globales en materia de ciencia tecnología e Innovación."/>
    <x v="12"/>
    <x v="68"/>
  </r>
  <r>
    <x v="3"/>
    <x v="22"/>
    <s v="O9. Contar con el observatorio laboral para la educación OLE"/>
    <x v="8"/>
    <x v="69"/>
  </r>
</pivotCacheRecords>
</file>

<file path=xl/pivotCache/pivotCacheRecords5.xml><?xml version="1.0" encoding="utf-8"?>
<pivotCacheRecords xmlns="http://schemas.openxmlformats.org/spreadsheetml/2006/main" xmlns:r="http://schemas.openxmlformats.org/officeDocument/2006/relationships" count="627">
  <r>
    <n v="1"/>
    <x v="0"/>
    <s v="DEBILIDAD"/>
    <s v="PROCESO GESTIÓN ADMISIONES Y REGISTRO"/>
    <s v="D1. Dependencia de otras áreas para la ejecución de las actividades del proceso, que generan retrasos"/>
    <x v="0"/>
    <x v="0"/>
  </r>
  <r>
    <n v="2"/>
    <x v="0"/>
    <s v="DEBILIDAD"/>
    <s v="PROCESO GESTIÓN ADMISIONES Y REGISTRO"/>
    <s v="D2. Los consejos de Facultad y las direcciones de programa no envían oportunamente a la oficina de Admisiones y Registro, las actas de consejo, actas de sustentación y vistos buenos, para iniciar el proceso de Revisión de carpeta y Novedades Académicas."/>
    <x v="0"/>
    <x v="1"/>
  </r>
  <r>
    <n v="3"/>
    <x v="0"/>
    <s v="DEBILIDAD"/>
    <s v="PROCESO GESTIÓN ADMISIONES Y REGISTRO"/>
    <s v="D3. Demora de la oficina de tesorería en cargar archivos planos de los pagos realizados por parte de los estudiantes y aspirantes. "/>
    <x v="0"/>
    <x v="1"/>
  </r>
  <r>
    <n v="4"/>
    <x v="0"/>
    <s v="DEBILIDAD"/>
    <s v="PROCESO GESTIÓN ADMISIONES Y REGISTRO"/>
    <s v="D4. Falta de digitación oportuna de Notas por parte de los docentes de los diferentes programas Académicos."/>
    <x v="0"/>
    <x v="1"/>
  </r>
  <r>
    <n v="5"/>
    <x v="0"/>
    <s v="DEBILIDAD"/>
    <s v="PROCESO GESTIÓN ADMISIONES Y REGISTRO"/>
    <s v="D5. Falta asegurar la gestión del conocimiento en el proceso"/>
    <x v="1"/>
    <x v="2"/>
  </r>
  <r>
    <n v="6"/>
    <x v="0"/>
    <s v="DEBILIDAD"/>
    <s v="PROCESO GESTIÓN ADMISIONES Y REGISTRO"/>
    <s v="D6. La estructura orgánica es inapropiada para la ejecución de los planes, lo que hace que los trámites sean mas demorados"/>
    <x v="2"/>
    <x v="3"/>
  </r>
  <r>
    <n v="7"/>
    <x v="0"/>
    <s v="DEBILIDAD"/>
    <s v="PROCESO GESTIÓN ADMISIONES Y REGISTRO"/>
    <s v="D7. Falta fortalecer el pilar estratégico de la trasnhumanidad en el proceso (ambiente laboral)"/>
    <x v="2"/>
    <x v="4"/>
  </r>
  <r>
    <n v="8"/>
    <x v="0"/>
    <s v="DEBILIDAD"/>
    <s v="PROCESO GESTIÓN ADMISIONES Y REGISTRO"/>
    <s v="D8. Falta realizar seguimiento al incumplimiento de metas frente a los indicadores del proceso"/>
    <x v="3"/>
    <x v="5"/>
  </r>
  <r>
    <n v="9"/>
    <x v="0"/>
    <s v="DEBILIDAD"/>
    <s v="PROCESO GESTIÓN ADMISIONES Y REGISTRO"/>
    <s v="D9. Falta de presentación oportuna de los compromisos del Sistema de Gestión de la Calidad."/>
    <x v="1"/>
    <x v="6"/>
  </r>
  <r>
    <n v="10"/>
    <x v="1"/>
    <s v="DEBILIDAD"/>
    <s v="PROCESO GESTIÓN ADMISIONES Y REGISTRO"/>
    <s v="D1. Dependencia de otras áreas para la ejecución de las actividades del proceso, que generan retrasos"/>
    <x v="0"/>
    <x v="0"/>
  </r>
  <r>
    <n v="11"/>
    <x v="1"/>
    <s v="DEBILIDAD"/>
    <s v="PROCESO GESTIÓN ADMISIONES Y REGISTRO"/>
    <s v="D2. Los consejos de Facultad y las direcciones de programa no envían oportunamente a la oficina de Admisiones y Registro, las actas de consejo, actas de sustentación y vistos buenos, para iniciar el proceso de Revisión de carpeta y Novedades Académicas."/>
    <x v="0"/>
    <x v="1"/>
  </r>
  <r>
    <n v="12"/>
    <x v="1"/>
    <s v="DEBILIDAD"/>
    <s v="PROCESO GESTIÓN ADMISIONES Y REGISTRO"/>
    <s v="D3. Demora de la oficina de tesorería en cargar archivos planos de los pagos realizados por factores exógenos de los estudiantes y aspirantes. "/>
    <x v="0"/>
    <x v="1"/>
  </r>
  <r>
    <n v="13"/>
    <x v="1"/>
    <s v="DEBILIDAD"/>
    <s v="PROCESO GESTIÓN ADMISIONES Y REGISTRO"/>
    <s v="D4. Falta de digitación oportuna de Notas por parte de los docentes de los diferentes programas Académicos."/>
    <x v="0"/>
    <x v="1"/>
  </r>
  <r>
    <n v="14"/>
    <x v="1"/>
    <s v="DEBILIDAD"/>
    <s v="PROCESO GESTIÓN ADMISIONES Y REGISTRO"/>
    <s v="D5. Falta asegurar la gestión del conocimiento en el proceso"/>
    <x v="1"/>
    <x v="2"/>
  </r>
  <r>
    <n v="15"/>
    <x v="1"/>
    <s v="DEBILIDAD"/>
    <s v="PROCESO GESTIÓN ADMISIONES Y REGISTRO"/>
    <s v="D6. La estructura orgánica es inapropiada para la ejecución de los planes, lo que hace que los trámites sean mas demorados"/>
    <x v="2"/>
    <x v="3"/>
  </r>
  <r>
    <n v="16"/>
    <x v="1"/>
    <s v="DEBILIDAD"/>
    <s v="PROCESO GESTIÓN ADMISIONES Y REGISTRO"/>
    <s v="D7. Falta fortalecer el pilar estratégico de la trasnhumanidad en el proceso (ambiente laboral)"/>
    <x v="2"/>
    <x v="4"/>
  </r>
  <r>
    <n v="17"/>
    <x v="1"/>
    <s v="DEBILIDAD"/>
    <s v="PROCESO GESTIÓN ADMISIONES Y REGISTRO"/>
    <s v="D8. Falta realizar seguimiento al incumplimiento de metas frente a los indicadores del proceso"/>
    <x v="3"/>
    <x v="5"/>
  </r>
  <r>
    <n v="19"/>
    <x v="0"/>
    <s v="DEBILIDAD"/>
    <s v="PROCESO GESTIÓN APOYO ACADÉMICO"/>
    <s v="D1. El alcance del proceso es demasiado  grande teniendo en cuenta la cantidad de espacios académicos presentes en las unidades regionales y manejando la oficina centralizada en la sede, lo que no permite tener un impacto eficiente. (no hacen uso de los sistemas de  información con los que cuenta el proceso)."/>
    <x v="2"/>
    <x v="7"/>
  </r>
  <r>
    <n v="20"/>
    <x v="0"/>
    <s v="DEBILIDAD"/>
    <s v="PROCESO GESTIÓN APOYO ACADÉMICO"/>
    <s v="D2. No se cuenta con un profesional que lidere los laboratorios de sede, seccionales y extensiones. Como lo tiene bibliotecas y granjas."/>
    <x v="1"/>
    <x v="8"/>
  </r>
  <r>
    <n v="21"/>
    <x v="0"/>
    <s v="DEBILIDAD"/>
    <s v="PROCESO GESTIÓN APOYO ACADÉMICO"/>
    <s v="D3. Infraestructura limitada para los laboratorios."/>
    <x v="4"/>
    <x v="9"/>
  </r>
  <r>
    <n v="22"/>
    <x v="0"/>
    <s v="DEBILIDAD"/>
    <s v="PROCESO GESTIÓN APOYO ACADÉMICO"/>
    <s v="D4. Falta de articulación de los diferentes actores en la formulación y ejecución de los proyectos aprobados por el COUNFIS y planeación institucional encaminados al mejoramiento de los espacios académicos adscritos a la unidad de apoyo académico."/>
    <x v="0"/>
    <x v="0"/>
  </r>
  <r>
    <n v="23"/>
    <x v="0"/>
    <s v="DEBILIDAD"/>
    <s v="PROCESO GESTIÓN APOYO ACADÉMICO"/>
    <s v="D5.Elementos académicos que no cuenten con las condiciones mínimas para su préstamo"/>
    <x v="4"/>
    <x v="10"/>
  </r>
  <r>
    <n v="24"/>
    <x v="0"/>
    <s v="DEBILIDAD"/>
    <s v="PROCESO GESTIÓN APOYO ACADÉMICO"/>
    <s v="D6. Cargue inoportuno de documentos en el repositorio institucional de la biblioteca en seccionales y extensiones. "/>
    <x v="0"/>
    <x v="1"/>
  </r>
  <r>
    <n v="25"/>
    <x v="0"/>
    <s v="DEBILIDAD"/>
    <s v="PROCESO GESTIÓN APOYO ACADÉMICO"/>
    <s v="D7.Falta de asignación de recursos económicos para garantizar el mantenimiento preventivo, correctivo y calibración."/>
    <x v="5"/>
    <x v="11"/>
  </r>
  <r>
    <n v="26"/>
    <x v="0"/>
    <s v="DEBILIDAD"/>
    <s v="PROCESO GESTIÓN APOYO ACADÉMICO"/>
    <s v="D8. El reporte no oportuno de los demás procesos (Investigación, Docencia) en cuanto a sus necesidades de recursos académicos tales como: Calibración de Equipos, Licenciamiento de Software y Recursos Bibliográficos."/>
    <x v="0"/>
    <x v="12"/>
  </r>
  <r>
    <n v="27"/>
    <x v="0"/>
    <s v="DEBILIDAD"/>
    <s v="PROCESO GESTIÓN APOYO ACADÉMICO"/>
    <s v="D9. Falta condiciones para el almacenamiento de químicos en laboratorios."/>
    <x v="4"/>
    <x v="9"/>
  </r>
  <r>
    <n v="28"/>
    <x v="0"/>
    <s v="DEBILIDAD"/>
    <s v="PROCESO GESTIÓN APOYO ACADÉMICO"/>
    <s v="D10. No aprovechamiento de los recursos de apoyo por parte de la academia"/>
    <x v="1"/>
    <x v="6"/>
  </r>
  <r>
    <n v="29"/>
    <x v="0"/>
    <s v="DEBILIDAD"/>
    <s v="PROCESO GESTIÓN APOYO ACADÉMICO"/>
    <s v="D11. El reporte no oportuno de los demás procesos(Investigación - Formación y Aprendizaje): Calibración y mantenimiento de Equipos."/>
    <x v="0"/>
    <x v="13"/>
  </r>
  <r>
    <n v="30"/>
    <x v="0"/>
    <s v="DEBILIDAD"/>
    <s v="PROCESO GESTIÓN APOYO ACADÉMICO"/>
    <s v="D12. Falta asegurar la aplicación de los criterios en cuanto a la priorización de los mantenimientos"/>
    <x v="1"/>
    <x v="6"/>
  </r>
  <r>
    <n v="31"/>
    <x v="1"/>
    <s v="DEBILIDAD"/>
    <s v="PROCESO GESTIÓN APOYO ACADÉMICO"/>
    <s v="D1. El alcance del proceso es demasiado  grande teniendo en cuenta la cantidad de espacios académicos presentes en las unidades regionales y manejando la oficina centralizada en la sede, lo que no permite tener un impacto eficiente. (no hacen uso de los sistemas de  información con los que cuenta el proceso)."/>
    <x v="2"/>
    <x v="7"/>
  </r>
  <r>
    <n v="32"/>
    <x v="1"/>
    <s v="DEBILIDAD"/>
    <s v="PROCESO GESTIÓN APOYO ACADÉMICO"/>
    <s v="D2. No se cuenta con un profesional que lidere los laboratorios de sede, seccionales y extensiones. Como lo tiene bibliotecas y granjas."/>
    <x v="1"/>
    <x v="8"/>
  </r>
  <r>
    <n v="33"/>
    <x v="1"/>
    <s v="DEBILIDAD"/>
    <s v="PROCESO GESTIÓN APOYO ACADÉMICO"/>
    <s v="D3. Infraestructura limitada para los laboratorios."/>
    <x v="4"/>
    <x v="9"/>
  </r>
  <r>
    <n v="34"/>
    <x v="1"/>
    <s v="DEBILIDAD"/>
    <s v="PROCESO GESTIÓN APOYO ACADÉMICO"/>
    <s v="D4. Falta de articulación de los diferentes actores en la formulación y ejecución de los proyectos aprobados por el COUNFIS y planeación institucional encaminados al mejoramiento de los espacios académicos adscritos a la unidad de apoyo académico."/>
    <x v="0"/>
    <x v="0"/>
  </r>
  <r>
    <n v="35"/>
    <x v="1"/>
    <s v="DEBILIDAD"/>
    <s v="PROCESO GESTIÓN APOYO ACADÉMICO"/>
    <s v="D5.Elementos académicos que no cuenten con las condiciones mínimas para su préstamo"/>
    <x v="4"/>
    <x v="10"/>
  </r>
  <r>
    <n v="36"/>
    <x v="1"/>
    <s v="DEBILIDAD"/>
    <s v="PROCESO GESTIÓN APOYO ACADÉMICO"/>
    <s v="D6. Cargue inoportuno de documentos en el repositorio institucional de la biblioteca en seccionales y extensiones. "/>
    <x v="0"/>
    <x v="1"/>
  </r>
  <r>
    <n v="37"/>
    <x v="1"/>
    <s v="DEBILIDAD"/>
    <s v="PROCESO GESTIÓN APOYO ACADÉMICO"/>
    <s v="D7.Falta de asignación de recursos económicos para garantizar el mantenimiento preventivo, correctivo y calibración."/>
    <x v="5"/>
    <x v="11"/>
  </r>
  <r>
    <n v="38"/>
    <x v="1"/>
    <s v="DEBILIDAD"/>
    <s v="PROCESO GESTIÓN APOYO ACADÉMICO"/>
    <s v="D8. El reporte no oportuno del proceso Formación y Aprendizaje en cuanto a sus necesidades de recursos académicos tales como: actualización de Licenciamiento de Software y Recursos Bibliográficos."/>
    <x v="0"/>
    <x v="12"/>
  </r>
  <r>
    <n v="39"/>
    <x v="1"/>
    <s v="DEBILIDAD"/>
    <s v="PROCESO GESTIÓN APOYO ACADÉMICO"/>
    <s v="D9. Falta condiciones para el almacenamiento de químicos en laboratorios."/>
    <x v="4"/>
    <x v="9"/>
  </r>
  <r>
    <n v="40"/>
    <x v="1"/>
    <s v="DEBILIDAD"/>
    <s v="PROCESO GESTIÓN APOYO ACADÉMICO"/>
    <s v="D10. No aprovechamiento de los recursos de apoyo por parte de la academia"/>
    <x v="1"/>
    <x v="6"/>
  </r>
  <r>
    <n v="41"/>
    <x v="1"/>
    <s v="DEBILIDAD"/>
    <s v="PROCESO GESTIÓN APOYO ACADÉMICO"/>
    <s v="D11. El reporte no oportuno de los demás procesos(Investigación - Formación y Aprendizaje): Calibración y mantenimiento de Equipos."/>
    <x v="0"/>
    <x v="13"/>
  </r>
  <r>
    <n v="42"/>
    <x v="1"/>
    <s v="DEBILIDAD"/>
    <s v="PROCESO GESTIÓN APOYO ACADÉMICO"/>
    <s v="D12. Falta asegurar la aplicación de los criterios en cuanto a la priorización de los mantenimientos."/>
    <x v="1"/>
    <x v="6"/>
  </r>
  <r>
    <n v="43"/>
    <x v="0"/>
    <s v="DEBILIDAD"/>
    <s v="PROCESO GESTIÓN AUTOEVALUACIÓN Y ACREDITACIÓN"/>
    <s v="D1: Cultura reactiva ante situaciones complejas"/>
    <x v="0"/>
    <x v="14"/>
  </r>
  <r>
    <n v="44"/>
    <x v="0"/>
    <s v="DEBILIDAD"/>
    <s v="PROCESO GESTIÓN AUTOEVALUACIÓN Y ACREDITACIÓN"/>
    <s v="D2: Entrega inoportuna de la información requerida por parte de los gestores responsables"/>
    <x v="0"/>
    <x v="1"/>
  </r>
  <r>
    <n v="45"/>
    <x v="0"/>
    <s v="DEBILIDAD"/>
    <s v="PROCESO GESTIÓN AUTOEVALUACIÓN Y ACREDITACIÓN"/>
    <s v="D3: Alta rotación del personal docente de los equipos de autoevaluación y acreditación y Directores de programa"/>
    <x v="1"/>
    <x v="15"/>
  </r>
  <r>
    <n v="46"/>
    <x v="0"/>
    <s v="DEBILIDAD"/>
    <s v="PROCESO GESTIÓN AUTOEVALUACIÓN Y ACREDITACIÓN"/>
    <s v="D4: Desinformación de la comunidad académica sobre los procesos de registro calificado, acreditación de programas."/>
    <x v="0"/>
    <x v="12"/>
  </r>
  <r>
    <n v="47"/>
    <x v="0"/>
    <s v="DEBILIDAD"/>
    <s v="PROCESO GESTIÓN AUTOEVALUACIÓN Y ACREDITACIÓN"/>
    <s v="D5. Tiempos limitados en la dedicación académica de los profesores para atender los procesos de autoevaluación, acreditación y registro calificado"/>
    <x v="0"/>
    <x v="1"/>
  </r>
  <r>
    <n v="48"/>
    <x v="0"/>
    <s v="DEBILIDAD"/>
    <s v="PROCESO GESTIÓN AUTOEVALUACIÓN Y ACREDITACIÓN"/>
    <s v="D6. Falta estudio del contexto para la oferta de programas nuevos"/>
    <x v="2"/>
    <x v="16"/>
  </r>
  <r>
    <n v="49"/>
    <x v="1"/>
    <s v="DEBILIDAD"/>
    <s v="PROCESO GESTIÓN AUTOEVALUACIÓN Y ACREDITACIÓN"/>
    <s v="D1: Cultura reactiva ante situaciones complejas"/>
    <x v="0"/>
    <x v="14"/>
  </r>
  <r>
    <n v="50"/>
    <x v="1"/>
    <s v="DEBILIDAD"/>
    <s v="PROCESO GESTIÓN AUTOEVALUACIÓN Y ACREDITACIÓN"/>
    <s v="D2: Entrega inoportuna de la información requerida por parte de los gestores responsables"/>
    <x v="0"/>
    <x v="1"/>
  </r>
  <r>
    <n v="51"/>
    <x v="1"/>
    <s v="DEBILIDAD"/>
    <s v="PROCESO GESTIÓN AUTOEVALUACIÓN Y ACREDITACIÓN"/>
    <s v="D3. Alta rotación del personal docente de los equipos de autoevaluación y acreditación y coordinadores de programa"/>
    <x v="1"/>
    <x v="15"/>
  </r>
  <r>
    <n v="52"/>
    <x v="1"/>
    <s v="DEBILIDAD"/>
    <s v="PROCESO GESTIÓN AUTOEVALUACIÓN Y ACREDITACIÓN"/>
    <s v="D4: Desinformación de la comunidad académica sobre los procesos de registro calificado, acreditación de programas."/>
    <x v="0"/>
    <x v="12"/>
  </r>
  <r>
    <n v="53"/>
    <x v="1"/>
    <s v="DEBILIDAD"/>
    <s v="PROCESO GESTIÓN AUTOEVALUACIÓN Y ACREDITACIÓN"/>
    <s v="D5. Tiempos limitados en la dedicación académica de los profesores para atender los procesos de autoevaluación, acreditación y registro calificado"/>
    <x v="0"/>
    <x v="1"/>
  </r>
  <r>
    <n v="54"/>
    <x v="1"/>
    <s v="DEBILIDAD"/>
    <s v="PROCESO GESTIÓN AUTOEVALUACIÓN Y ACREDITACIÓN"/>
    <s v="D6. Falta estudio del contexto para la oferta de programas nuevos"/>
    <x v="2"/>
    <x v="16"/>
  </r>
  <r>
    <n v="55"/>
    <x v="1"/>
    <s v="DEBILIDAD"/>
    <s v="PROCESO GESTIÓN AUTOEVALUACIÓN Y ACREDITACIÓN"/>
    <s v="D7. Errores tipográficos en la sistematización de la información"/>
    <x v="0"/>
    <x v="17"/>
  </r>
  <r>
    <n v="56"/>
    <x v="0"/>
    <s v="DEBILIDAD"/>
    <s v="PROCESO GESTIÓN BIENES Y SERVICIOS"/>
    <s v="D1. Falta de actualización permanente en temas relacionados a la naturaleza del proceso de contratación."/>
    <x v="1"/>
    <x v="18"/>
  </r>
  <r>
    <n v="57"/>
    <x v="0"/>
    <s v="DEBILIDAD"/>
    <s v="PROCESO GESTIÓN BIENES Y SERVICIOS"/>
    <s v="D2. No es suficiente la asignación del rubro presupuestal para la ejecución de las actividades del presupuesto."/>
    <x v="5"/>
    <x v="11"/>
  </r>
  <r>
    <n v="58"/>
    <x v="0"/>
    <s v="DEBILIDAD"/>
    <s v="PROCESO GESTIÓN BIENES Y SERVICIOS"/>
    <s v="D3. Falta de un política de modernización permanente del parque automotor."/>
    <x v="2"/>
    <x v="4"/>
  </r>
  <r>
    <n v="59"/>
    <x v="0"/>
    <s v="DEBILIDAD"/>
    <s v="PROCESO GESTIÓN BIENES Y SERVICIOS"/>
    <s v="D4. Desconocimiento de los bienes con los que cuenta la Universidad y frente a los inmuebles no se ejerce control de los mismo por el distanciamiento que hay de la sede principal de la Universidad."/>
    <x v="3"/>
    <x v="5"/>
  </r>
  <r>
    <n v="60"/>
    <x v="0"/>
    <s v="DEBILIDAD"/>
    <s v="PROCESO GESTIÓN BIENES Y SERVICIOS"/>
    <s v="D5. Personal Insuficiente y no remunerado de acuerdo a su perfil para las actividades del Proceso."/>
    <x v="1"/>
    <x v="8"/>
  </r>
  <r>
    <n v="61"/>
    <x v="0"/>
    <s v="DEBILIDAD"/>
    <s v="PROCESO GESTIÓN BIENES Y SERVICIOS"/>
    <s v="D6. El Modelo y los tiempos de contratación directa de la Universidad son demasiado extensos, afectando la Institucionalidad."/>
    <x v="0"/>
    <x v="1"/>
  </r>
  <r>
    <n v="62"/>
    <x v="0"/>
    <s v="DEBILIDAD"/>
    <s v="PROCESO GESTIÓN BIENES Y SERVICIOS"/>
    <s v="D7. Falta de mecanismos que permitan la localización permanente del parque automotor a disposición de la Comunidad Universitaria."/>
    <x v="4"/>
    <x v="9"/>
  </r>
  <r>
    <n v="63"/>
    <x v="0"/>
    <s v="DEBILIDAD"/>
    <s v="PROCESO GESTIÓN BIENES Y SERVICIOS"/>
    <s v="D8. La información remitida por los procesos en ocasiones no cumple de manera completa, causando reprocesos en las  actividades. "/>
    <x v="0"/>
    <x v="19"/>
  </r>
  <r>
    <n v="64"/>
    <x v="0"/>
    <s v="DEBILIDAD"/>
    <s v="PROCESO GESTIÓN BIENES Y SERVICIOS"/>
    <s v="D9. Falta de seguimiento a la ejecución contractual por parte del supervisor."/>
    <x v="3"/>
    <x v="5"/>
  </r>
  <r>
    <n v="65"/>
    <x v="0"/>
    <s v="DEBILIDAD"/>
    <s v="PROCESO GESTIÓN BIENES Y SERVICIOS"/>
    <s v="D10. Falta de conciliaciones entre Almacén y contabilidad"/>
    <x v="0"/>
    <x v="0"/>
  </r>
  <r>
    <n v="66"/>
    <x v="0"/>
    <s v="DEBILIDAD"/>
    <s v="PROCESO GESTIÓN BIENES Y SERVICIOS"/>
    <s v="D11. Falta de espacio físicos para el adecuado almacenaje del archivo documental y los elementos o productos con los que cuenta el proceso "/>
    <x v="4"/>
    <x v="9"/>
  </r>
  <r>
    <n v="67"/>
    <x v="0"/>
    <s v="DEBILIDAD"/>
    <s v="PROCESO GESTIÓN BIENES Y SERVICIOS"/>
    <s v="D12. Mala clasificación de los bienes"/>
    <x v="1"/>
    <x v="18"/>
  </r>
  <r>
    <n v="68"/>
    <x v="0"/>
    <s v="DEBILIDAD"/>
    <s v="PROCESO GESTIÓN BIENES Y SERVICIOS"/>
    <s v="D13. Registro no oportuno de los ingresos por las diferentes modalidades"/>
    <x v="0"/>
    <x v="1"/>
  </r>
  <r>
    <n v="69"/>
    <x v="0"/>
    <s v="DEBILIDAD"/>
    <s v="PROCESO GESTIÓN BIENES Y SERVICIOS"/>
    <s v="D14. Fallas del contratista y/o supervisor durante la ejecución de la orden contractual o contrato."/>
    <x v="0"/>
    <x v="20"/>
  </r>
  <r>
    <n v="70"/>
    <x v="0"/>
    <s v="DEBILIDAD"/>
    <s v="PROCESO GESTIÓN BIENES Y SERVICIOS"/>
    <s v="D15. Falta de un control eficiente que permita salvaguardar el parque automotor y la Planta Física"/>
    <x v="3"/>
    <x v="5"/>
  </r>
  <r>
    <n v="71"/>
    <x v="0"/>
    <s v="DEBILIDAD"/>
    <s v="PROCESO GESTIÓN BIENES Y SERVICIOS"/>
    <s v="D16. Traslado de elementos devolutivos sin la debida comunicación con Almacén (ABSr037)"/>
    <x v="0"/>
    <x v="12"/>
  </r>
  <r>
    <n v="72"/>
    <x v="0"/>
    <s v="DEBILIDAD"/>
    <s v="PROCESO GESTIÓN BIENES Y SERVICIOS"/>
    <s v="D17. Fallas en la inspección de la Planta Física que genera el Cronograma de Mantenimiento de la misma"/>
    <x v="3"/>
    <x v="5"/>
  </r>
  <r>
    <n v="73"/>
    <x v="0"/>
    <s v="DEBILIDAD"/>
    <s v="PROCESO GESTIÓN BIENES Y SERVICIOS"/>
    <s v="D18. Falta de competencia e idoneidad por parte de algunos supervisores"/>
    <x v="1"/>
    <x v="18"/>
  </r>
  <r>
    <n v="74"/>
    <x v="0"/>
    <s v="DEBILIDAD"/>
    <s v="PROCESO GESTIÓN BIENESTAR UNIVERSITARIO"/>
    <s v="D1. Destinación de Recursos propios para actividades de contratación de personal afectan el desarrollo de actividades propias del proceso."/>
    <x v="5"/>
    <x v="11"/>
  </r>
  <r>
    <n v="75"/>
    <x v="0"/>
    <s v="DEBILIDAD"/>
    <s v="PROCESO GESTIÓN BIENESTAR UNIVERSITARIO"/>
    <s v="D2. La carga operativa del proceso es amplia y no se cuenta con el personal suficiente. (áreas interdisciplinares y psicosociales) "/>
    <x v="1"/>
    <x v="8"/>
  </r>
  <r>
    <n v="76"/>
    <x v="0"/>
    <s v="DEBILIDAD"/>
    <s v="PROCESO GESTIÓN BIENESTAR UNIVERSITARIO"/>
    <s v="D3. Falta de software que se ajuste a las necesidades del proceso (Permanencia y Campos de Aprendizaje)."/>
    <x v="4"/>
    <x v="21"/>
  </r>
  <r>
    <n v="77"/>
    <x v="0"/>
    <s v="DEBILIDAD"/>
    <s v="PROCESO GESTIÓN BIENESTAR UNIVERSITARIO"/>
    <s v="D4. Falta de  infraestructura física y acceso adecuado a la comunidad universitaria para la prestación del Servicio en algunas Seccionales y Extensiones"/>
    <x v="4"/>
    <x v="22"/>
  </r>
  <r>
    <n v="78"/>
    <x v="0"/>
    <s v="DEBILIDAD"/>
    <s v="PROCESO GESTIÓN BIENESTAR UNIVERSITARIO"/>
    <s v="D5. No es suficiente la asignación del rubro presupuestal para la ejecución de las actividades."/>
    <x v="5"/>
    <x v="11"/>
  </r>
  <r>
    <n v="79"/>
    <x v="0"/>
    <s v="DEBILIDAD"/>
    <s v="PROCESO GESTIÓN BIENESTAR UNIVERSITARIO"/>
    <s v="D6. Falta mejorar las Herramientas y aplicaciones de seguimiento y materialización del proceso"/>
    <x v="4"/>
    <x v="10"/>
  </r>
  <r>
    <n v="80"/>
    <x v="0"/>
    <s v="DEBILIDAD"/>
    <s v="PROCESO GESTIÓN BIENESTAR UNIVERSITARIO"/>
    <s v="D7. Horarios de atención en servicios de salud No acordes con las jornadas de la Universidad"/>
    <x v="2"/>
    <x v="16"/>
  </r>
  <r>
    <n v="81"/>
    <x v="0"/>
    <s v="DEBILIDAD"/>
    <s v="PROCESO GESTIÓN BIENESTAR UNIVERSITARIO"/>
    <s v="D8. Profesionales que no cuentan con la capacitación para la atención en primeros auxilios"/>
    <x v="1"/>
    <x v="18"/>
  </r>
  <r>
    <n v="82"/>
    <x v="0"/>
    <s v="DEBILIDAD"/>
    <s v="PROCESO GESTIÓN BIENESTAR UNIVERSITARIO"/>
    <s v="D9. Los equipos de medición del proceso de bienestar universitario no cuentan con mantenimiento y calibración"/>
    <x v="4"/>
    <x v="23"/>
  </r>
  <r>
    <n v="83"/>
    <x v="1"/>
    <s v="DEBILIDAD"/>
    <s v="PROCESO GESTIÓN BIENESTAR UNIVERSITARIO"/>
    <s v="D1. Destinación de Recursos propios para actividades de contratación de personal afectan el desarrollo de actividades propias del proceso."/>
    <x v="5"/>
    <x v="11"/>
  </r>
  <r>
    <n v="84"/>
    <x v="1"/>
    <s v="DEBILIDAD"/>
    <s v="PROCESO GESTIÓN BIENESTAR UNIVERSITARIO"/>
    <s v="D2. La carga operativa del proceso es amplia y no se cuenta con el personal suficiente. (áreas interdisciplinares y psicosociales) "/>
    <x v="1"/>
    <x v="8"/>
  </r>
  <r>
    <n v="85"/>
    <x v="1"/>
    <s v="DEBILIDAD"/>
    <s v="PROCESO GESTIÓN BIENESTAR UNIVERSITARIO"/>
    <s v="D3.Falta de software que se ajuste a las necesidades del proceso"/>
    <x v="4"/>
    <x v="21"/>
  </r>
  <r>
    <n v="86"/>
    <x v="1"/>
    <s v="DEBILIDAD"/>
    <s v="PROCESO GESTIÓN BIENESTAR UNIVERSITARIO"/>
    <s v="D4. Falta de  infraestructura física y acceso adecuado a la comunidad universitaria para la prestación del Servicio en algunas Seccionales y Extensiones"/>
    <x v="4"/>
    <x v="22"/>
  </r>
  <r>
    <n v="89"/>
    <x v="1"/>
    <s v="DEBILIDAD"/>
    <s v="PROCESO GESTIÓN BIENESTAR UNIVERSITARIO"/>
    <s v="D5. Horarios de atención en bienestar saludable no acordes con las jornadas de la Universidad"/>
    <x v="2"/>
    <x v="16"/>
  </r>
  <r>
    <n v="90"/>
    <x v="1"/>
    <s v="DEBILIDAD"/>
    <s v="PROCESO GESTIÓN BIENESTAR UNIVERSITARIO"/>
    <s v="D8. Profesionales que no cuentan con la capacitación para la atención en primeros auxilios"/>
    <x v="1"/>
    <x v="18"/>
  </r>
  <r>
    <n v="92"/>
    <x v="0"/>
    <s v="DEBILIDAD"/>
    <s v="PROCESO GESTIÓN CIENCIA, TECNOLOGÍA E INNOVACIÓN"/>
    <s v="D1. Falta de espacios académicos para la investigación"/>
    <x v="4"/>
    <x v="9"/>
  </r>
  <r>
    <n v="93"/>
    <x v="0"/>
    <s v="DEBILIDAD"/>
    <s v="PROCESO GESTIÓN CIENCIA, TECNOLOGÍA E INNOVACIÓN"/>
    <s v="D2. Pocos productos como resultados de Proyectos de investigación"/>
    <x v="3"/>
    <x v="24"/>
  </r>
  <r>
    <n v="94"/>
    <x v="0"/>
    <s v="DEBILIDAD"/>
    <s v="PROCESO GESTIÓN CIENCIA, TECNOLOGÍA E INNOVACIÓN"/>
    <s v="D3. No se tiene establecido los parámetros para retirar el aval institucional a: líneas, grupos."/>
    <x v="0"/>
    <x v="25"/>
  </r>
  <r>
    <n v="95"/>
    <x v="0"/>
    <s v="DEBILIDAD"/>
    <s v="PROCESO GESTIÓN CIENCIA, TECNOLOGÍA E INNOVACIÓN"/>
    <s v="D4. No cumplir con los tiempos  establecidos para la revisión de solicitudes ante el CDI"/>
    <x v="0"/>
    <x v="1"/>
  </r>
  <r>
    <n v="96"/>
    <x v="0"/>
    <s v="DEBILIDAD"/>
    <s v="PROCESO GESTIÓN CIENCIA, TECNOLOGÍA E INNOVACIÓN"/>
    <s v="D5. Manejo de la información en físico"/>
    <x v="6"/>
    <x v="26"/>
  </r>
  <r>
    <n v="97"/>
    <x v="0"/>
    <s v="DEBILIDAD"/>
    <s v="PROCESO GESTIÓN CIENCIA, TECNOLOGÍA E INNOVACIÓN"/>
    <s v="D6. Contratos por tiempos cortos de Investigadores y personal administrativo."/>
    <x v="1"/>
    <x v="15"/>
  </r>
  <r>
    <n v="98"/>
    <x v="0"/>
    <s v="DEBILIDAD"/>
    <s v="PROCESO GESTIÓN CIENCIA, TECNOLOGÍA E INNOVACIÓN"/>
    <s v="D7. Demora en los procesos administrativos y financieros para el desembolso de los recursos"/>
    <x v="0"/>
    <x v="1"/>
  </r>
  <r>
    <n v="99"/>
    <x v="0"/>
    <s v="DEBILIDAD"/>
    <s v="PROCESO GESTIÓN CIENCIA, TECNOLOGÍA E INNOVACIÓN"/>
    <s v="D8. Cambios inesperados en los procedimientos administrativos. "/>
    <x v="0"/>
    <x v="14"/>
  </r>
  <r>
    <n v="100"/>
    <x v="0"/>
    <s v="DEBILIDAD"/>
    <s v="PROCESO GESTIÓN CIENCIA, TECNOLOGÍA E INNOVACIÓN"/>
    <s v="D9. No acogerse a los procedimientos establecidos"/>
    <x v="0"/>
    <x v="27"/>
  </r>
  <r>
    <n v="101"/>
    <x v="0"/>
    <s v="DEBILIDAD"/>
    <s v="PROCESO GESTIÓN CIENCIA, TECNOLOGÍA E INNOVACIÓN"/>
    <s v="D10. No se reporta la evaluación de Desempeño de las Líneas, Grupos y Semilleros de Investigación por los responsables"/>
    <x v="3"/>
    <x v="5"/>
  </r>
  <r>
    <n v="102"/>
    <x v="0"/>
    <s v="DEBILIDAD"/>
    <s v="PROCESO GESTIÓN CIENCIA, TECNOLOGÍA E INNOVACIÓN"/>
    <s v="D11.  No reportan las actualizaciones de integrantes, de grupos, semilleros y proyectos de investigación"/>
    <x v="0"/>
    <x v="13"/>
  </r>
  <r>
    <n v="103"/>
    <x v="0"/>
    <s v="DEBILIDAD"/>
    <s v="PROCESO GESTIÓN CIENCIA, TECNOLOGÍA E INNOVACIÓN"/>
    <s v="D12. No cumplimiento de lo pactado en el acta de compromiso de los proyectos de investigación y transferencias de resultados"/>
    <x v="0"/>
    <x v="20"/>
  </r>
  <r>
    <n v="104"/>
    <x v="0"/>
    <s v="DEBILIDAD"/>
    <s v="PROCESO GESTIÓN CIENCIA, TECNOLOGÍA E INNOVACIÓN"/>
    <s v="D13. Falta de ejecución de convenios. "/>
    <x v="2"/>
    <x v="16"/>
  </r>
  <r>
    <n v="105"/>
    <x v="0"/>
    <s v="DEBILIDAD"/>
    <s v="PROCESO GESTIÓN CIENCIA, TECNOLOGÍA E INNOVACIÓN"/>
    <s v="D14.El proceso carece de  los   Insumos necesarios  para la ejecución de los proyectos."/>
    <x v="4"/>
    <x v="10"/>
  </r>
  <r>
    <n v="106"/>
    <x v="0"/>
    <s v="DEBILIDAD"/>
    <s v="PROCESO GESTIÓN CIENCIA, TECNOLOGÍA E INNOVACIÓN"/>
    <s v="D15. Se identifica la necesidad de implementar un Software adecuado el proceso de investigación.  "/>
    <x v="4"/>
    <x v="21"/>
  </r>
  <r>
    <n v="107"/>
    <x v="0"/>
    <s v="DEBILIDAD"/>
    <s v="PROCESO GESTIÓN CIENCIA, TECNOLOGÍA E INNOVACIÓN"/>
    <s v="D16. No cumplir con las metas de los objetivos establecidos en el proceso. "/>
    <x v="0"/>
    <x v="20"/>
  </r>
  <r>
    <n v="108"/>
    <x v="0"/>
    <s v="DEBILIDAD"/>
    <s v="PROCESO GESTIÓN CIENCIA, TECNOLOGÍA E INNOVACIÓN"/>
    <s v="D17. Realizar investigaciones con equipos sin mantenimiento y/o calibración"/>
    <x v="4"/>
    <x v="23"/>
  </r>
  <r>
    <n v="109"/>
    <x v="0"/>
    <s v="DEBILIDAD"/>
    <s v="PROCESO GESTIÓN CIENCIA, TECNOLOGÍA E INNOVACIÓN"/>
    <s v="D18. Desconocimiento del equipo de trabajo de las Políticas Institucionales aprobadas en otros procesos."/>
    <x v="1"/>
    <x v="2"/>
  </r>
  <r>
    <n v="110"/>
    <x v="0"/>
    <s v="DEBILIDAD"/>
    <s v="PROCESO GESTIÓN CIENCIA, TECNOLOGÍA E INNOVACIÓN"/>
    <s v="D19. Estrategias que faciliten la conectividad para el personal que se encuentre en modalidad de trabajo en casa. "/>
    <x v="4"/>
    <x v="28"/>
  </r>
  <r>
    <n v="111"/>
    <x v="0"/>
    <s v="DEBILIDAD"/>
    <s v="PROCESO GESTIÓN CIENCIA, TECNOLOGÍA E INNOVACIÓN"/>
    <s v="D20. Falta de actualizaciones de los aplicativos tecnológicos con los que cuenta el proceso. "/>
    <x v="4"/>
    <x v="21"/>
  </r>
  <r>
    <n v="112"/>
    <x v="0"/>
    <s v="DEBILIDAD"/>
    <s v="PROCESO GESTIÓN CIENCIA, TECNOLOGÍA E INNOVACIÓN"/>
    <s v="D21. No contar con lineamientos de alto nivel para el manejo de los documentos suscritos y que son objeto de verificación por entes de control. "/>
    <x v="0"/>
    <x v="27"/>
  </r>
  <r>
    <n v="113"/>
    <x v="0"/>
    <s v="DEBILIDAD"/>
    <s v="PROCESO GESTIÓN CIENCIA, TECNOLOGÍA E INNOVACIÓN"/>
    <s v="D22. Falta de apropiación del conocimiento por parte de la comunidad académica y/o administrativa en relación a metrología. "/>
    <x v="1"/>
    <x v="6"/>
  </r>
  <r>
    <n v="114"/>
    <x v="1"/>
    <s v="DEBILIDAD"/>
    <s v="PROCESO GESTIÓN CIENCIA, TECNOLOGÍA E INNOVACIÓN"/>
    <s v="D1. Falta de espacios académicos para la investigación (Laboratorios académicos)."/>
    <x v="4"/>
    <x v="9"/>
  </r>
  <r>
    <n v="115"/>
    <x v="1"/>
    <s v="DEBILIDAD"/>
    <s v="PROCESO GESTIÓN CIENCIA, TECNOLOGÍA E INNOVACIÓN"/>
    <s v="D2. Pocos productos como resultados de Proyectos de investigación"/>
    <x v="3"/>
    <x v="24"/>
  </r>
  <r>
    <n v="116"/>
    <x v="1"/>
    <s v="DEBILIDAD"/>
    <s v="PROCESO GESTIÓN CIENCIA, TECNOLOGÍA E INNOVACIÓN"/>
    <s v="D3. No se tiene establecido los parámetros para retirar el aval institucional a: líneas, grupos."/>
    <x v="0"/>
    <x v="25"/>
  </r>
  <r>
    <n v="117"/>
    <x v="1"/>
    <s v="DEBILIDAD"/>
    <s v="PROCESO GESTIÓN CIENCIA, TECNOLOGÍA E INNOVACIÓN"/>
    <s v="D4. No cumplir con los tiempos  establecidos para la revisión de solicitudes ante el CDI"/>
    <x v="0"/>
    <x v="1"/>
  </r>
  <r>
    <n v="118"/>
    <x v="1"/>
    <s v="DEBILIDAD"/>
    <s v="PROCESO GESTIÓN CIENCIA, TECNOLOGÍA E INNOVACIÓN"/>
    <s v="D5. Manejo de la información en físico"/>
    <x v="6"/>
    <x v="26"/>
  </r>
  <r>
    <n v="119"/>
    <x v="1"/>
    <s v="DEBILIDAD"/>
    <s v="PROCESO GESTIÓN CIENCIA, TECNOLOGÍA E INNOVACIÓN"/>
    <s v="D6. Contratos por tiempos cortos de Investigadores y personal administrativo."/>
    <x v="1"/>
    <x v="15"/>
  </r>
  <r>
    <n v="120"/>
    <x v="1"/>
    <s v="DEBILIDAD"/>
    <s v="PROCESO GESTIÓN CIENCIA, TECNOLOGÍA E INNOVACIÓN"/>
    <s v="D7. Demora en los procesos administrativos y financieros para el desembolso de los recursos"/>
    <x v="0"/>
    <x v="1"/>
  </r>
  <r>
    <n v="121"/>
    <x v="1"/>
    <s v="DEBILIDAD"/>
    <s v="PROCESO GESTIÓN CIENCIA, TECNOLOGÍA E INNOVACIÓN"/>
    <s v="D8. Cambios inesperados en los procedimientos administrativos. "/>
    <x v="0"/>
    <x v="14"/>
  </r>
  <r>
    <n v="122"/>
    <x v="1"/>
    <s v="DEBILIDAD"/>
    <s v="PROCESO GESTIÓN CIENCIA, TECNOLOGÍA E INNOVACIÓN"/>
    <s v="D9. No acogerse a los procedimientos establecidos"/>
    <x v="0"/>
    <x v="27"/>
  </r>
  <r>
    <n v="123"/>
    <x v="1"/>
    <s v="DEBILIDAD"/>
    <s v="PROCESO GESTIÓN CIENCIA, TECNOLOGÍA E INNOVACIÓN"/>
    <s v="D10. No se reporta la evaluación de Desempeño de las Líneas, Grupos y Semilleros de Investigación por los responsables"/>
    <x v="3"/>
    <x v="5"/>
  </r>
  <r>
    <n v="124"/>
    <x v="1"/>
    <s v="DEBILIDAD"/>
    <s v="PROCESO GESTIÓN CIENCIA, TECNOLOGÍA E INNOVACIÓN"/>
    <s v="D11.  No reportan las actualizaciones de integrantes, de grupos, semilleros y proyectos de investigación"/>
    <x v="0"/>
    <x v="13"/>
  </r>
  <r>
    <n v="125"/>
    <x v="1"/>
    <s v="DEBILIDAD"/>
    <s v="PROCESO GESTIÓN CIENCIA, TECNOLOGÍA E INNOVACIÓN"/>
    <s v="D12. No cumplimiento de lo pactado en el acta de compromiso de los proyectos de investigación y transferencias de resultados"/>
    <x v="0"/>
    <x v="20"/>
  </r>
  <r>
    <n v="126"/>
    <x v="1"/>
    <s v="DEBILIDAD"/>
    <s v="PROCESO GESTIÓN CIENCIA, TECNOLOGÍA E INNOVACIÓN"/>
    <s v="D13. Demora en la liquidación de los convenios ejecutados. (Modificación)"/>
    <x v="2"/>
    <x v="16"/>
  </r>
  <r>
    <n v="127"/>
    <x v="1"/>
    <s v="DEBILIDAD"/>
    <s v="PROCESO GESTIÓN CIENCIA, TECNOLOGÍA E INNOVACIÓN"/>
    <s v="D14.El proceso carece de  los   Insumos necesarios  para la ejecución de los proyectos."/>
    <x v="4"/>
    <x v="10"/>
  </r>
  <r>
    <n v="129"/>
    <x v="1"/>
    <s v="DEBILIDAD"/>
    <s v="PROCESO GESTIÓN CIENCIA, TECNOLOGÍA E INNOVACIÓN"/>
    <s v="D15. No cumplir con las metas de los objetivos establecidos en el proceso. "/>
    <x v="0"/>
    <x v="20"/>
  </r>
  <r>
    <n v="130"/>
    <x v="1"/>
    <s v="DEBILIDAD"/>
    <s v="PROCESO GESTIÓN CIENCIA, TECNOLOGÍA E INNOVACIÓN"/>
    <s v="D16. Realizar investigaciones con equipos sin mantenimiento y/o calibración"/>
    <x v="4"/>
    <x v="23"/>
  </r>
  <r>
    <n v="131"/>
    <x v="1"/>
    <s v="DEBILIDAD"/>
    <s v="PROCESO GESTIÓN CIENCIA, TECNOLOGÍA E INNOVACIÓN"/>
    <s v="D17. Desconocimiento del equipo de trabajo de las Políticas Institucionales aprobadas en otros procesos."/>
    <x v="1"/>
    <x v="2"/>
  </r>
  <r>
    <n v="132"/>
    <x v="1"/>
    <s v="DEBILIDAD"/>
    <s v="PROCESO GESTIÓN CIENCIA, TECNOLOGÍA E INNOVACIÓN"/>
    <s v="D18. Estrategias que faciliten la conectividad para el personal que se encuentre en modalidad de trabajo en casa. "/>
    <x v="4"/>
    <x v="28"/>
  </r>
  <r>
    <n v="133"/>
    <x v="1"/>
    <s v="DEBILIDAD"/>
    <s v="PROCESO GESTIÓN CIENCIA, TECNOLOGÍA E INNOVACIÓN"/>
    <s v="D19. Falta de actualizaciones de los aplicativos tecnológicos con los que cuenta el proceso y/o automatización de los procedimientos pendientes. (Modificación) "/>
    <x v="4"/>
    <x v="21"/>
  </r>
  <r>
    <n v="135"/>
    <x v="1"/>
    <s v="DEBILIDAD"/>
    <s v="PROCESO GESTIÓN CIENCIA, TECNOLOGÍA E INNOVACIÓN"/>
    <s v="D20. Falta de apropiación del conocimiento por parte de la comunidad académica y/o administrativa en relación a metrología. "/>
    <x v="1"/>
    <x v="6"/>
  </r>
  <r>
    <n v="136"/>
    <x v="1"/>
    <s v="DEBILIDAD"/>
    <s v="PROCESO GESTIÓN CIENCIA, TECNOLOGÍA E INNOVACIÓN"/>
    <s v="D21. Desconocimiento de las consecuencias relacionadas con los efectos que puede tener la pandemia en el desarrollo de los proyectos de investigación, con efectos sobre su avance, la financiación y en los resultados esperados. "/>
    <x v="2"/>
    <x v="29"/>
  </r>
  <r>
    <n v="137"/>
    <x v="1"/>
    <s v="DEBILIDAD"/>
    <s v="PROCESO GESTIÓN CIENCIA, TECNOLOGÍA E INNOVACIÓN"/>
    <s v="D22.No se asegura el control de la información documentada asociada a los proyectos de investigación."/>
    <x v="0"/>
    <x v="30"/>
  </r>
  <r>
    <n v="138"/>
    <x v="0"/>
    <s v="DEBILIDAD"/>
    <s v="PROCESO GESTIÓN COMUNICACIONES"/>
    <s v="D1. Inestabilidad laboral relacionada con el modelo de contratación de la Universidad. "/>
    <x v="1"/>
    <x v="15"/>
  </r>
  <r>
    <n v="139"/>
    <x v="0"/>
    <s v="DEBILIDAD"/>
    <s v="PROCESO GESTIÓN COMUNICACIONES"/>
    <s v="D2: Equipos insuficientes para la operación del proceso (Cámaras de televisión, micrófonos, luces, trípodes, baterías, teléfonos, almacenamiento de los equipos)"/>
    <x v="4"/>
    <x v="10"/>
  </r>
  <r>
    <n v="140"/>
    <x v="0"/>
    <s v="DEBILIDAD"/>
    <s v="PROCESO GESTIÓN COMUNICACIONES"/>
    <s v="D3: El proceso de la Oficina Asesora no cuenta con un servidor propio ni unidades de almacenamiento "/>
    <x v="4"/>
    <x v="21"/>
  </r>
  <r>
    <n v="141"/>
    <x v="0"/>
    <s v="DEBILIDAD"/>
    <s v="PROCESO GESTIÓN COMUNICACIONES"/>
    <s v="D4. No se puede contar con el apoyo de pasantes dado que los perfiles académicos no se adaptan a las necesidades del proceso"/>
    <x v="1"/>
    <x v="31"/>
  </r>
  <r>
    <n v="142"/>
    <x v="0"/>
    <s v="DEBILIDAD"/>
    <s v="PROCESO GESTIÓN COMUNICACIONES"/>
    <s v="D5: La asignación de recursos financieros para la contratación del personal especializado para el proceso de comunicaciones es limitado, lo que ocasiona una alta rotación del mismo."/>
    <x v="5"/>
    <x v="11"/>
  </r>
  <r>
    <n v="143"/>
    <x v="0"/>
    <s v="DEBILIDAD"/>
    <s v="PROCESO GESTIÓN COMUNICACIONES"/>
    <s v="D6. Establecimiento de programas de mantenimiento preventivo para los equipos del proceso"/>
    <x v="2"/>
    <x v="16"/>
  </r>
  <r>
    <n v="144"/>
    <x v="0"/>
    <s v="DEBILIDAD"/>
    <s v="PROCESO GESTIÓN COMUNICACIONES"/>
    <s v="D7: Proceso de compras complejo y demorado. "/>
    <x v="0"/>
    <x v="1"/>
  </r>
  <r>
    <n v="145"/>
    <x v="0"/>
    <s v="DEBILIDAD"/>
    <s v="PROCESO GESTIÓN COMUNICACIONES"/>
    <s v="D8.Insuficiencia de recursos físicos y económicos para el transporte seguro y oportuno en el cubrimiento de eventos en las diferentes sedes de la Universidad."/>
    <x v="5"/>
    <x v="32"/>
  </r>
  <r>
    <n v="146"/>
    <x v="0"/>
    <s v="DEBILIDAD"/>
    <s v="PROCESO GESTIÓN COMUNICACIONES"/>
    <s v="D9. Falta de capacitaciones al talento humano del proceso de comunicaciones en temas que permitan el fortalecimiento de sus competencias técnicas."/>
    <x v="1"/>
    <x v="18"/>
  </r>
  <r>
    <n v="147"/>
    <x v="0"/>
    <s v="DEBILIDAD"/>
    <s v="PROCESO GESTIÓN COMUNICACIONES"/>
    <s v="D10. Incumplimiento con los lineamientos del manual en su última versión"/>
    <x v="0"/>
    <x v="20"/>
  </r>
  <r>
    <n v="148"/>
    <x v="0"/>
    <s v="DEBILIDAD"/>
    <s v="PROCESO GESTIÓN COMUNICACIONES"/>
    <s v="D11. La cobertura del internet no es optima dentro de las instalaciones"/>
    <x v="4"/>
    <x v="28"/>
  </r>
  <r>
    <n v="149"/>
    <x v="0"/>
    <s v="DEBILIDAD"/>
    <s v="PROCESO GESTIÓN COMUNICACIONES"/>
    <s v="D12. Inoportunidad en el suministro de la información y de tiempos establecidos para la producción del servicio requerido."/>
    <x v="0"/>
    <x v="1"/>
  </r>
  <r>
    <n v="150"/>
    <x v="0"/>
    <s v="DEBILIDAD"/>
    <s v="PROCESO GESTIÓN COMUNICACIONES"/>
    <s v="D13. Mal funcionamiento de las carteleras digitales en seccionales y extensiones a causa de problemas técnicos"/>
    <x v="4"/>
    <x v="21"/>
  </r>
  <r>
    <n v="151"/>
    <x v="0"/>
    <s v="DEBILIDAD"/>
    <s v="PROCESO GESTIÓN COMUNICACIONES"/>
    <s v="D14. Manejo de redes sociales institucionales por parte de los procesos en seccionales y extensiones sin control de imagen institucional dada la necesidad de comunicación inmediata con la comunidad académica como plan de contingencia ante circunstancias de calamidad pública"/>
    <x v="1"/>
    <x v="6"/>
  </r>
  <r>
    <n v="152"/>
    <x v="0"/>
    <s v="DEBILIDAD"/>
    <s v="PROCESO GESTIÓN COMUNICACIONES"/>
    <s v="D15. Alto volumen de solicitudes de publicación web lo que ocasiona una alta carga laboral para el proceso"/>
    <x v="1"/>
    <x v="8"/>
  </r>
  <r>
    <n v="153"/>
    <x v="0"/>
    <s v="DEBILIDAD"/>
    <s v="PROCESO GESTIÓN COMUNICACIONES"/>
    <s v="D16. Excesivo flujo de información lo que puede generar infoxicación en el equipo de trabajo"/>
    <x v="0"/>
    <x v="19"/>
  </r>
  <r>
    <n v="154"/>
    <x v="0"/>
    <s v="DEBILIDAD"/>
    <s v="PROCESO GESTIÓN COMUNICACIONES"/>
    <s v="D17. Falta de organización y estructuración de los archivos y de la información a publicar por parte de los procesos"/>
    <x v="0"/>
    <x v="19"/>
  </r>
  <r>
    <n v="155"/>
    <x v="0"/>
    <s v="DEBILIDAD"/>
    <s v="PROCESO GESTIÓN COMUNICACIONES"/>
    <s v="D18. No se cuenta con lenguaje claro en la denominación de los archivos para el sitio web de solicitudes públicas a cotizar"/>
    <x v="0"/>
    <x v="30"/>
  </r>
  <r>
    <n v="156"/>
    <x v="1"/>
    <s v="DEBILIDAD"/>
    <s v="PROCESO GESTIÓN COMUNICACIONES"/>
    <s v="D1. Inestabilidad laboral relacionada con el modelo de contratación de la Universidad. "/>
    <x v="1"/>
    <x v="15"/>
  </r>
  <r>
    <n v="157"/>
    <x v="1"/>
    <s v="DEBILIDAD"/>
    <s v="PROCESO GESTIÓN COMUNICACIONES"/>
    <s v="D2: Equipos insuficientes para la operación del proceso (Cámaras de televisión, micrófonos, luces, trípodes, baterías, teléfonos, almacenamiento de los equipos)"/>
    <x v="4"/>
    <x v="10"/>
  </r>
  <r>
    <n v="158"/>
    <x v="1"/>
    <s v="DEBILIDAD"/>
    <s v="PROCESO GESTIÓN COMUNICACIONES"/>
    <s v="D3: El proceso de la Oficina Asesora no cuenta con un servidor propio ni unidades de almacenamiento "/>
    <x v="4"/>
    <x v="21"/>
  </r>
  <r>
    <n v="159"/>
    <x v="1"/>
    <s v="DEBILIDAD"/>
    <s v="PROCESO GESTIÓN COMUNICACIONES"/>
    <s v="D4. No se puede contar con el apoyo de pasantes dado que los perfiles académicos no se adaptan a las necesidades del proceso"/>
    <x v="1"/>
    <x v="31"/>
  </r>
  <r>
    <n v="160"/>
    <x v="1"/>
    <s v="DEBILIDAD"/>
    <s v="PROCESO GESTIÓN COMUNICACIONES"/>
    <s v="D5. La asignación de recursos financieros para la contratación del personal especializado para el proceso de comunicaciones es limitado, lo que ocasiona la rotación del mismo."/>
    <x v="5"/>
    <x v="11"/>
  </r>
  <r>
    <n v="161"/>
    <x v="1"/>
    <s v="DEBILIDAD"/>
    <s v="PROCESO GESTIÓN COMUNICACIONES"/>
    <s v="D6. Falta del servicio de mantenimiento preventivo y correctivo para los equipos del proceso "/>
    <x v="2"/>
    <x v="16"/>
  </r>
  <r>
    <n v="162"/>
    <x v="1"/>
    <s v="DEBILIDAD"/>
    <s v="PROCESO GESTIÓN COMUNICACIONES"/>
    <s v="D7: Proceso de compras complejo y demorado. "/>
    <x v="0"/>
    <x v="1"/>
  </r>
  <r>
    <n v="163"/>
    <x v="1"/>
    <s v="DEBILIDAD"/>
    <s v="PROCESO GESTIÓN COMUNICACIONES"/>
    <s v="D8.Insuficiencia de recursos físicos y económicos para el transporte seguro y oportuno en el cubrimiento de eventos en las diferentes sedes de la Universidad."/>
    <x v="5"/>
    <x v="32"/>
  </r>
  <r>
    <n v="164"/>
    <x v="1"/>
    <s v="DEBILIDAD"/>
    <s v="PROCESO GESTIÓN COMUNICACIONES"/>
    <s v="D9. Falta de capacitaciones al talento humano del proceso de comunicaciones en temas que permitan el fortalecimiento de sus competencias técnicas."/>
    <x v="1"/>
    <x v="18"/>
  </r>
  <r>
    <n v="165"/>
    <x v="1"/>
    <s v="DEBILIDAD"/>
    <s v="PROCESO GESTIÓN COMUNICACIONES"/>
    <s v="D10. Incumplimiento con los lineamientos del manual en su última versión"/>
    <x v="0"/>
    <x v="20"/>
  </r>
  <r>
    <n v="166"/>
    <x v="1"/>
    <s v="DEBILIDAD"/>
    <s v="PROCESO GESTIÓN COMUNICACIONES"/>
    <s v="D11. La cobertura del internet no es optima dentro de las instalaciones"/>
    <x v="4"/>
    <x v="28"/>
  </r>
  <r>
    <n v="167"/>
    <x v="1"/>
    <s v="DEBILIDAD"/>
    <s v="PROCESO GESTIÓN COMUNICACIONES"/>
    <s v="D12. Inoportunidad e imprecisión en el suministro de la información y de tiempos establecidos para la producción o publicación del servicio requerido"/>
    <x v="0"/>
    <x v="1"/>
  </r>
  <r>
    <n v="170"/>
    <x v="1"/>
    <s v="DEBILIDAD"/>
    <s v="PROCESO GESTIÓN COMUNICACIONES"/>
    <s v="D13. Alto volumen de solicitudes de publicación web lo que ocasiona una alta carga laboral para el proceso"/>
    <x v="1"/>
    <x v="8"/>
  </r>
  <r>
    <n v="171"/>
    <x v="1"/>
    <s v="DEBILIDAD"/>
    <s v="PROCESO GESTIÓN COMUNICACIONES"/>
    <s v="D14. Excesivo flujo de información lo que puede generar infoxicación en el equipo de trabajo"/>
    <x v="0"/>
    <x v="19"/>
  </r>
  <r>
    <n v="172"/>
    <x v="1"/>
    <s v="DEBILIDAD"/>
    <s v="PROCESO GESTIÓN COMUNICACIONES"/>
    <s v="D15. Falta de organización y estructuración de los archivos y de la información a publicar por parte de los procesos"/>
    <x v="0"/>
    <x v="19"/>
  </r>
  <r>
    <n v="173"/>
    <x v="1"/>
    <s v="DEBILIDAD"/>
    <s v="PROCESO GESTIÓN COMUNICACIONES"/>
    <s v="D16. No se cuenta con lenguaje claro en la denominación de los archivos para el sitio web de solicitudes públicas a cotizar"/>
    <x v="0"/>
    <x v="30"/>
  </r>
  <r>
    <n v="174"/>
    <x v="0"/>
    <s v="DEBILIDAD"/>
    <s v="PROCESO GESTIÓN DIALOGANDO CON EL MUNDO"/>
    <s v="D1. No contar con suficiente talento humano para desarrollar las actividades del proceso Dialogando con el Mundo."/>
    <x v="1"/>
    <x v="8"/>
  </r>
  <r>
    <n v="175"/>
    <x v="0"/>
    <s v="DEBILIDAD"/>
    <s v="PROCESO GESTIÓN DIALOGANDO CON EL MUNDO"/>
    <s v="D2. No contar con un espacio físico adecuado a las necesidades del proceso."/>
    <x v="4"/>
    <x v="9"/>
  </r>
  <r>
    <n v="176"/>
    <x v="0"/>
    <s v="DEBILIDAD"/>
    <s v="PROCESO GESTIÓN DIALOGANDO CON EL MUNDO"/>
    <s v="D3. No contar con el acceso a la información financiera, genera inestabilidad en el manejo del rubro. "/>
    <x v="0"/>
    <x v="19"/>
  </r>
  <r>
    <n v="177"/>
    <x v="0"/>
    <s v="DEBILIDAD"/>
    <s v="PROCESO GESTIÓN DIALOGANDO CON EL MUNDO"/>
    <s v="D4. No se cuenta con las horas indirectas en los contratos de los maestros suficiente para la visibilidad institucional,   nacional e internacional de Dialogando con el Mundo (horas Docentes por facultad)."/>
    <x v="1"/>
    <x v="8"/>
  </r>
  <r>
    <n v="178"/>
    <x v="0"/>
    <s v="DEBILIDAD"/>
    <s v="PROCESO GESTIÓN DIALOGANDO CON EL MUNDO"/>
    <s v="D5.Falta de institucionalización de la oficina de relaciones internacionales ORI."/>
    <x v="2"/>
    <x v="33"/>
  </r>
  <r>
    <n v="179"/>
    <x v="0"/>
    <s v="DEBILIDAD"/>
    <s v="PROCESO GESTIÓN DIALOGANDO CON EL MUNDO"/>
    <s v="D6. La Universidad de Cundinamarca al no estar bien posicionada  en el ranking internacional, no es visible como destino académico para estudiantes y docentes.  "/>
    <x v="2"/>
    <x v="34"/>
  </r>
  <r>
    <n v="180"/>
    <x v="0"/>
    <s v="DEBILIDAD"/>
    <s v="PROCESO GESTIÓN DIALOGANDO CON EL MUNDO"/>
    <s v="D7.No contar con articulación en el proceso de investigación y en la oficina de Ciencia, Tecnología e Innovación para generar un sistema internacional para la investigación conjunta."/>
    <x v="0"/>
    <x v="0"/>
  </r>
  <r>
    <n v="181"/>
    <x v="0"/>
    <s v="DEBILIDAD"/>
    <s v="PROCESO GESTIÓN DIALOGANDO CON EL MUNDO"/>
    <s v="D8. No financiamiento de la internacionalización con entes externos. "/>
    <x v="5"/>
    <x v="11"/>
  </r>
  <r>
    <n v="182"/>
    <x v="0"/>
    <s v="DEBILIDAD"/>
    <s v="PROCESO GESTIÓN DIALOGANDO CON EL MUNDO"/>
    <s v="D9. No contar con recursos financieros necesarios para la realizar la movilidad a Europa, Norte América y Asia.(Cambio de moneda no favorece la movilidad a estos continentes)."/>
    <x v="5"/>
    <x v="11"/>
  </r>
  <r>
    <n v="183"/>
    <x v="0"/>
    <s v="DEBILIDAD"/>
    <s v="PROCESO GESTIÓN DIALOGANDO CON EL MUNDO"/>
    <s v="D10. Falta de talento humano que represente el proceso Dialogando con el Mundo en las seccionales y extensiones de la Universidad de Cundinamarca."/>
    <x v="2"/>
    <x v="33"/>
  </r>
  <r>
    <n v="184"/>
    <x v="0"/>
    <s v="DEBILIDAD"/>
    <s v="PROCESO GESTIÓN DIALOGANDO CON EL MUNDO"/>
    <s v="D11. Faltan lineamientos que permitan la doble titulación en conjunto con las instituciones del exterior e internamente."/>
    <x v="2"/>
    <x v="16"/>
  </r>
  <r>
    <n v="185"/>
    <x v="0"/>
    <s v="DEBILIDAD"/>
    <s v="PROCESO GESTIÓN DIALOGANDO CON EL MUNDO"/>
    <s v="D12. Demora en los procesos de contratación del talento humano. "/>
    <x v="1"/>
    <x v="35"/>
  </r>
  <r>
    <n v="186"/>
    <x v="0"/>
    <s v="DEBILIDAD"/>
    <s v="PROCESO GESTIÓN DIALOGANDO CON EL MUNDO"/>
    <s v="D13. No se cuenta con un perfil docente calificado para afrontar retos multilingües con base en proyectos de internacionalización en el currículo. "/>
    <x v="1"/>
    <x v="18"/>
  </r>
  <r>
    <n v="187"/>
    <x v="0"/>
    <s v="DEBILIDAD"/>
    <s v="PROCESO GESTIÓN DIALOGANDO CON EL MUNDO"/>
    <s v="D14. Falta de cultura académica en materia de internacionalización en casa. "/>
    <x v="0"/>
    <x v="14"/>
  </r>
  <r>
    <n v="188"/>
    <x v="0"/>
    <s v="DEBILIDAD"/>
    <s v="PROCESO GESTIÓN DIALOGANDO CON EL MUNDO"/>
    <s v="D15. Presupuesto limitado para gestión de la internacionalización en la UCundinamarca."/>
    <x v="5"/>
    <x v="11"/>
  </r>
  <r>
    <n v="189"/>
    <x v="1"/>
    <s v="DEBILIDAD"/>
    <s v="PROCESO GESTIÓN DIALOGANDO CON EL MUNDO"/>
    <s v="D1. No contar con suficiente talento humano para desarrollar las actividades del proceso Dialogando con el Mundo."/>
    <x v="1"/>
    <x v="8"/>
  </r>
  <r>
    <n v="190"/>
    <x v="1"/>
    <s v="DEBILIDAD"/>
    <s v="PROCESO GESTIÓN DIALOGANDO CON EL MUNDO"/>
    <s v="D2. No contar con un espacio físico adecuado a las necesidades del proceso."/>
    <x v="4"/>
    <x v="9"/>
  </r>
  <r>
    <n v="191"/>
    <x v="1"/>
    <s v="DEBILIDAD"/>
    <s v="PROCESO GESTIÓN DIALOGANDO CON EL MUNDO"/>
    <s v="D3. No contar con el acceso a la información financiera, genera inestabilidad en el manejo del rubro. "/>
    <x v="0"/>
    <x v="19"/>
  </r>
  <r>
    <n v="192"/>
    <x v="1"/>
    <s v="DEBILIDAD"/>
    <s v="PROCESO GESTIÓN DIALOGANDO CON EL MUNDO"/>
    <s v="D4. No se cuenta con las horas indirectas en los contratos de los maestros suficiente para la visibilidad institucional,   nacional e internacional de Dialogando con el Mundo (horas Docentes por facultad)."/>
    <x v="1"/>
    <x v="8"/>
  </r>
  <r>
    <n v="193"/>
    <x v="1"/>
    <s v="DEBILIDAD"/>
    <s v="PROCESO GESTIÓN DIALOGANDO CON EL MUNDO"/>
    <s v="D5.Falta de institucionalización de la oficina de relaciones internacionales ORI."/>
    <x v="2"/>
    <x v="33"/>
  </r>
  <r>
    <n v="194"/>
    <x v="1"/>
    <s v="DEBILIDAD"/>
    <s v="PROCESO GESTIÓN DIALOGANDO CON EL MUNDO"/>
    <s v="D6. La Universidad de Cundinamarca al no estar bien posicionada  en el ranking internacional, no es visible como destino académico para estudiantes y docentes.  "/>
    <x v="2"/>
    <x v="34"/>
  </r>
  <r>
    <n v="195"/>
    <x v="1"/>
    <s v="DEBILIDAD"/>
    <s v="PROCESO GESTIÓN DIALOGANDO CON EL MUNDO"/>
    <s v="D7. No contar con articulación con la Oficina de investigación del proceso Ciencia, Tecnología e Innovación para generar un sistema internacional para la investigación conjunta."/>
    <x v="0"/>
    <x v="0"/>
  </r>
  <r>
    <n v="196"/>
    <x v="1"/>
    <s v="DEBILIDAD"/>
    <s v="PROCESO GESTIÓN DIALOGANDO CON EL MUNDO"/>
    <s v="D8. No financiamiento de la internacionalización con entes externos. "/>
    <x v="5"/>
    <x v="11"/>
  </r>
  <r>
    <n v="197"/>
    <x v="1"/>
    <s v="DEBILIDAD"/>
    <s v="PROCESO GESTIÓN DIALOGANDO CON EL MUNDO"/>
    <s v="D9. No contar con recursos financieros necesarios para la realizar la movilidad a Europa, Norte América y Asia.(Cambio de moneda no favorece la movilidad a estos continentes)."/>
    <x v="5"/>
    <x v="11"/>
  </r>
  <r>
    <n v="198"/>
    <x v="1"/>
    <s v="DEBILIDAD"/>
    <s v="PROCESO GESTIÓN DIALOGANDO CON EL MUNDO"/>
    <s v="D10. Falta de talento humano que represente el proceso Dialogando con el Mundo en las seccionales y extensiones de la Universidad de Cundinamarca."/>
    <x v="2"/>
    <x v="33"/>
  </r>
  <r>
    <n v="199"/>
    <x v="1"/>
    <s v="DEBILIDAD"/>
    <s v="PROCESO GESTIÓN DIALOGANDO CON EL MUNDO"/>
    <s v="D11. Faltan lineamientos que permitan la doble titulación en conjunto con las instituciones del exterior e internamente."/>
    <x v="2"/>
    <x v="16"/>
  </r>
  <r>
    <n v="200"/>
    <x v="1"/>
    <s v="DEBILIDAD"/>
    <s v="PROCESO GESTIÓN DIALOGANDO CON EL MUNDO"/>
    <s v="D12. Demora en los procesos de contratación del talento humano. "/>
    <x v="1"/>
    <x v="35"/>
  </r>
  <r>
    <n v="201"/>
    <x v="1"/>
    <s v="DEBILIDAD"/>
    <s v="PROCESO GESTIÓN DIALOGANDO CON EL MUNDO"/>
    <s v="D13. No se cuenta con un perfil docente calificado para afrontar retos multilingües con base en proyectos de internacionalización en el currículo. "/>
    <x v="1"/>
    <x v="18"/>
  </r>
  <r>
    <n v="202"/>
    <x v="1"/>
    <s v="DEBILIDAD"/>
    <s v="PROCESO GESTIÓN DIALOGANDO CON EL MUNDO"/>
    <s v="D14. Falta de cultura académica en materia de internacionalización en casa. "/>
    <x v="0"/>
    <x v="14"/>
  </r>
  <r>
    <n v="203"/>
    <x v="1"/>
    <s v="DEBILIDAD"/>
    <s v="PROCESO GESTIÓN DIALOGANDO CON EL MUNDO"/>
    <s v="D15. Presupuesto limitado para gestión de la internacionalización en la UCundinamarca."/>
    <x v="5"/>
    <x v="11"/>
  </r>
  <r>
    <n v="204"/>
    <x v="1"/>
    <s v="DEBILIDAD"/>
    <s v="PROCESO GESTIÓN DIALOGANDO CON EL MUNDO"/>
    <s v="D16. No se asegura la aplicación de las medidas de control para los riesgos de SST por parte del equipo colaborador del proceso. "/>
    <x v="1"/>
    <x v="6"/>
  </r>
  <r>
    <n v="205"/>
    <x v="1"/>
    <s v="DEBILIDAD"/>
    <s v="PROCESO GESTIÓN DIALOGANDO CON EL MUNDO"/>
    <s v="D17. No se asegura el análisis y evaluación de los resultados generados por el seguimiento y medición de los indicadores establecidos para el proceso. "/>
    <x v="3"/>
    <x v="36"/>
  </r>
  <r>
    <n v="206"/>
    <x v="0"/>
    <s v="DEBILIDAD"/>
    <s v="PROCESO GESTIÓN CONTROL DISCIPLINARIO"/>
    <s v="D1. Alta rotación de personal, lo que genera poco conocimiento de la entidad y sus procesos así como poco compromiso con el desarrollo de la gestión. "/>
    <x v="1"/>
    <x v="15"/>
  </r>
  <r>
    <n v="207"/>
    <x v="0"/>
    <s v="DEBILIDAD"/>
    <s v="PROCESO GESTIÓN CONTROL DISCIPLINARIO"/>
    <s v="D2. El modelo y los tiempos de contratación de la universidad es ineficiente"/>
    <x v="0"/>
    <x v="1"/>
  </r>
  <r>
    <n v="208"/>
    <x v="0"/>
    <s v="DEBILIDAD"/>
    <s v="PROCESO GESTIÓN CONTROL DISCIPLINARIO"/>
    <s v="D3. Falta de compromiso y apoyo en la labor preventiva que realiza la oficina, lo que se traduce en inasistencia a los eventos de capacitación."/>
    <x v="1"/>
    <x v="6"/>
  </r>
  <r>
    <n v="209"/>
    <x v="0"/>
    <s v="DEBILIDAD"/>
    <s v="PROCESO GESTIÓN CONTROL DISCIPLINARIO"/>
    <s v="D4. Faltan convenios que permitan mejorar las relaciones internas y externas del proceso."/>
    <x v="2"/>
    <x v="33"/>
  </r>
  <r>
    <n v="210"/>
    <x v="0"/>
    <s v="DEBILIDAD"/>
    <s v="PROCESO GESTIÓN CONTROL DISCIPLINARIO"/>
    <s v="D5. Se desconocen las necesidades de la comunidad académica y partes interesadas."/>
    <x v="2"/>
    <x v="4"/>
  </r>
  <r>
    <n v="211"/>
    <x v="0"/>
    <s v="DEBILIDAD"/>
    <s v="PROCESO GESTIÓN CONTROL DISCIPLINARIO"/>
    <s v="D6. No se han aplicado procesos de capacitación o inducción para el fortalecimiento de competencias laborales de los funcionarios."/>
    <x v="1"/>
    <x v="37"/>
  </r>
  <r>
    <n v="212"/>
    <x v="0"/>
    <s v="DEBILIDAD"/>
    <s v="PROCESO GESTIÓN CONTROL DISCIPLINARIO"/>
    <s v="D7. No se generan ambientes propicios para la innovación y aprendizaje continuo de los funcionarios."/>
    <x v="7"/>
    <x v="38"/>
  </r>
  <r>
    <n v="213"/>
    <x v="0"/>
    <s v="DEBILIDAD"/>
    <s v="PROCESO GESTIÓN CONTROL DISCIPLINARIO"/>
    <s v="D8. El proceso no cuenta con mediciones que garanticen el bienestar de los funcionarios en el puesto de trabajo."/>
    <x v="3"/>
    <x v="36"/>
  </r>
  <r>
    <n v="214"/>
    <x v="0"/>
    <s v="DEBILIDAD"/>
    <s v="PROCESO GESTIÓN CONTROL DISCIPLINARIO"/>
    <s v="D9. No cumplimiento del personal interno o externo frente a las diligencias citadas dentro de los procesos disciplinarios."/>
    <x v="1"/>
    <x v="6"/>
  </r>
  <r>
    <n v="215"/>
    <x v="1"/>
    <s v="DEBILIDAD"/>
    <s v="PROCESO GESTIÓN CONTROL DISCIPLINARIO"/>
    <s v="D1. Alta rotación de personal, lo que genera poco conocimiento de la entidad y sus procesos así como poco compromiso con el desarrollo de la gestión. "/>
    <x v="1"/>
    <x v="15"/>
  </r>
  <r>
    <n v="216"/>
    <x v="1"/>
    <s v="DEBILIDAD"/>
    <s v="PROCESO GESTIÓN CONTROL DISCIPLINARIO"/>
    <s v="D2. El aplicativo de Control Disciplinario no cumple con todos los requerimientos del Proceso."/>
    <x v="8"/>
    <x v="21"/>
  </r>
  <r>
    <n v="217"/>
    <x v="1"/>
    <s v="DEBILIDAD"/>
    <s v="PROCESO GESTIÓN CONTROL DISCIPLINARIO"/>
    <s v="D3. El modelo y los tiempos de contratación de la universidad es ineficiente"/>
    <x v="0"/>
    <x v="1"/>
  </r>
  <r>
    <n v="218"/>
    <x v="1"/>
    <s v="DEBILIDAD"/>
    <s v="PROCESO GESTIÓN CONTROL DISCIPLINARIO"/>
    <s v="D4. Falta de compromiso y apoyo en la labor preventiva que realiza la oficina, lo que se traduce en inasistencia a los eventos de capacitación."/>
    <x v="1"/>
    <x v="6"/>
  </r>
  <r>
    <n v="219"/>
    <x v="1"/>
    <s v="DEBILIDAD"/>
    <s v="PROCESO GESTIÓN CONTROL DISCIPLINARIO"/>
    <s v="D5. Faltan convenios con diferentes entidades públicas que permitan la capacitación y actualización en la normatividad técnica aplicable y de interés para el proceso."/>
    <x v="2"/>
    <x v="33"/>
  </r>
  <r>
    <n v="221"/>
    <x v="1"/>
    <s v="DEBILIDAD"/>
    <s v="PROCESO GESTIÓN CONTROL DISCIPLINARIO"/>
    <s v="D6. No se han aplicado procesos de capacitación o inducción para el fortalecimiento de competencias laborales de los funcionarios."/>
    <x v="1"/>
    <x v="37"/>
  </r>
  <r>
    <n v="222"/>
    <x v="1"/>
    <s v="DEBILIDAD"/>
    <s v="PROCESO GESTIÓN CONTROL DISCIPLINARIO"/>
    <s v="D7. No se generan ambientes propicios para la innovación y aprendizaje continuo de los funcionarios."/>
    <x v="7"/>
    <x v="38"/>
  </r>
  <r>
    <n v="223"/>
    <x v="1"/>
    <s v="DEBILIDAD"/>
    <s v="PROCESO GESTIÓN CONTROL DISCIPLINARIO"/>
    <s v="D8. El proceso no cuenta con mediciones que garanticen el bienestar de los funcionarios en el puesto de trabajo."/>
    <x v="3"/>
    <x v="36"/>
  </r>
  <r>
    <n v="224"/>
    <x v="1"/>
    <s v="DEBILIDAD"/>
    <s v="PROCESO GESTIÓN CONTROL DISCIPLINARIO"/>
    <s v="D9. No llevar a cabo las diligencias programadas en los términos establecidos dentro de los procesos disciplinarios, por la inasistencia del personal interno o externo citado."/>
    <x v="1"/>
    <x v="6"/>
  </r>
  <r>
    <n v="225"/>
    <x v="1"/>
    <s v="DEBILIDAD"/>
    <s v="PROCESO GESTIÓN CONTROL DISCIPLINARIO"/>
    <s v="D10. Falta de colaboración institucional, frente a la inoportunidad en la entrega de información por parte de las dependencias. "/>
    <x v="0"/>
    <x v="1"/>
  </r>
  <r>
    <n v="226"/>
    <x v="0"/>
    <s v="DEBILIDAD"/>
    <s v="PROCESO GESTIÓN CONTROL INTERNO"/>
    <s v="D1. No hay suficiente capacidad instalada para atender las necesidades de la Universidad."/>
    <x v="4"/>
    <x v="9"/>
  </r>
  <r>
    <n v="227"/>
    <x v="0"/>
    <s v="DEBILIDAD"/>
    <s v="PROCESO GESTIÓN CONTROL INTERNO"/>
    <s v="D2. Falta de sistematización en la Oficina."/>
    <x v="0"/>
    <x v="39"/>
  </r>
  <r>
    <n v="228"/>
    <x v="0"/>
    <s v="DEBILIDAD"/>
    <s v="PROCESO GESTIÓN CONTROL INTERNO"/>
    <s v="D3.Deficiente  infraestructura Tecnológica para el desarrollo eficaz de las actividades del proceso."/>
    <x v="4"/>
    <x v="21"/>
  </r>
  <r>
    <n v="229"/>
    <x v="0"/>
    <s v="DEBILIDAD"/>
    <s v="PROCESO GESTIÓN CONTROL INTERNO"/>
    <s v="D4. No identificación oportuna  de cambios normativos."/>
    <x v="0"/>
    <x v="14"/>
  </r>
  <r>
    <n v="230"/>
    <x v="0"/>
    <s v="DEBILIDAD"/>
    <s v="PROCESO GESTIÓN CONTROL INTERNO"/>
    <s v="D5. Debilidad de conocimiento respecto a los nuevos sistemas, modelos, normatividad adoptados por la Universidad de Cundinamarca."/>
    <x v="1"/>
    <x v="6"/>
  </r>
  <r>
    <n v="231"/>
    <x v="0"/>
    <s v="DEBILIDAD"/>
    <s v="PROCESO GESTIÓN CONTROL INTERNO"/>
    <s v="D6.Falta de entrega oportuna de  información por parte de los procesos para las actividades propias del proceso."/>
    <x v="0"/>
    <x v="1"/>
  </r>
  <r>
    <n v="232"/>
    <x v="0"/>
    <s v="DEBILIDAD"/>
    <s v="PROCESO GESTIÓN CONTROL INTERNO"/>
    <s v="D7. Perdida de información clave del proceso."/>
    <x v="0"/>
    <x v="30"/>
  </r>
  <r>
    <n v="233"/>
    <x v="0"/>
    <s v="DEBILIDAD"/>
    <s v="PROCESO GESTIÓN CONTROL INTERNO"/>
    <s v="D8. Falta de cobertura  de funcionarios  del proceso en seccionales  y extensiones."/>
    <x v="1"/>
    <x v="8"/>
  </r>
  <r>
    <n v="234"/>
    <x v="0"/>
    <s v="DEBILIDAD"/>
    <s v="PROCESO GESTIÓN CONTROL INTERNO"/>
    <s v="D9. Entrega de Información sin los parámetros establecidos de Confiabilidad, Veracidad, Calidad .( Firmas, Fechas, versiones actualizadas o cantidad de documentos entregables.) "/>
    <x v="0"/>
    <x v="19"/>
  </r>
  <r>
    <n v="235"/>
    <x v="0"/>
    <s v="DEBILIDAD"/>
    <s v="PROCESO GESTIÓN CONTROL INTERNO"/>
    <s v="D10.No se cuenta con adaptación de infraestructura en temas de inclusión  ."/>
    <x v="4"/>
    <x v="9"/>
  </r>
  <r>
    <n v="236"/>
    <x v="0"/>
    <s v="DEBILIDAD"/>
    <s v="PROCESO GESTIÓN CONTROL INTERNO"/>
    <s v="D11. No se cuenta con estrategias que fomenten la inclusión dentro de las actividades de los procedimientos del proceso. "/>
    <x v="2"/>
    <x v="4"/>
  </r>
  <r>
    <n v="237"/>
    <x v="0"/>
    <s v="DEBILIDAD"/>
    <s v="PROCESO GESTIÓN CONTROL INTERNO"/>
    <s v="D12. Falta de definición en la clasificación de los hallazgos. "/>
    <x v="3"/>
    <x v="5"/>
  </r>
  <r>
    <n v="238"/>
    <x v="1"/>
    <s v="DEBILIDAD"/>
    <s v="PROCESO GESTIÓN CONTROL INTERNO"/>
    <s v="D1. No hay suficiente capacidad instalada para atender las necesidades de la Universidad. (recurso humano)"/>
    <x v="4"/>
    <x v="9"/>
  </r>
  <r>
    <n v="242"/>
    <x v="1"/>
    <s v="DEBILIDAD"/>
    <s v="PROCESO GESTIÓN CONTROL INTERNO"/>
    <s v="D2. Fuga de capital por diferentes motivos (gestión del conocimiento)"/>
    <x v="1"/>
    <x v="2"/>
  </r>
  <r>
    <n v="243"/>
    <x v="1"/>
    <s v="DEBILIDAD"/>
    <s v="PROCESO GESTIÓN CONTROL INTERNO"/>
    <s v="D3. Afectación en la planificación de las auditorías debido a la no identificación oportuna de cambios normativos internos y externos."/>
    <x v="0"/>
    <x v="14"/>
  </r>
  <r>
    <n v="244"/>
    <x v="1"/>
    <s v="DEBILIDAD"/>
    <s v="PROCESO GESTIÓN CONTROL INTERNO"/>
    <s v="D4. Debilidad de conocimiento respecto a los nuevos sistemas, modelos, normatividad adoptados por la Universidad de Cundinamarca."/>
    <x v="1"/>
    <x v="6"/>
  </r>
  <r>
    <n v="245"/>
    <x v="1"/>
    <s v="DEBILIDAD"/>
    <s v="PROCESO GESTIÓN CONTROL INTERNO"/>
    <s v="D5. Falta de entrega oportuna de información por parte de los procesos para el desarrollo oportuno de las actividades propias del proceso."/>
    <x v="0"/>
    <x v="1"/>
  </r>
  <r>
    <n v="246"/>
    <x v="1"/>
    <s v="DEBILIDAD"/>
    <s v="PROCESO GESTIÓN CONTROL INTERNO"/>
    <s v="D6. Pérdida de información digital clave del proceso."/>
    <x v="0"/>
    <x v="30"/>
  </r>
  <r>
    <n v="247"/>
    <x v="1"/>
    <s v="DEBILIDAD"/>
    <s v="PROCESO GESTIÓN CONTROL INTERNO"/>
    <s v="D7. Falta de cobertura  de funcionarios  del proceso en seccionales  y extensiones."/>
    <x v="1"/>
    <x v="8"/>
  </r>
  <r>
    <n v="248"/>
    <x v="1"/>
    <s v="DEBILIDAD"/>
    <s v="PROCESO GESTIÓN CONTROL INTERNO"/>
    <s v="D8. Entrega de Información sin los parámetros establecidos de Confiabilidad, Veracidad, Calidad .( Firmas, Fechas, versiones actualizadas o cantidad de documentos entregables.) "/>
    <x v="0"/>
    <x v="19"/>
  </r>
  <r>
    <n v="251"/>
    <x v="1"/>
    <s v="DEBILIDAD"/>
    <s v="PROCESO GESTIÓN CONTROL INTERNO"/>
    <s v="D9. Posibles errores en la prestación del servicio debido a la curva de aprendizaje actual"/>
    <x v="1"/>
    <x v="2"/>
  </r>
  <r>
    <n v="252"/>
    <x v="1"/>
    <s v="DEBILIDAD"/>
    <s v="PROCESO GESTIÓN CONTROL INTERNO"/>
    <s v="D10. El modelo de contratación no permite fortalecer las competencias específicas en temas de control interno y/o auditoría de los profesionales de la oficina."/>
    <x v="1"/>
    <x v="15"/>
  </r>
  <r>
    <n v="253"/>
    <x v="1"/>
    <s v="DEBILIDAD"/>
    <s v="PROCESO GESTIÓN CONTROL INTERNO"/>
    <s v="D11. Indebida clasificación de los hallazgos. "/>
    <x v="3"/>
    <x v="5"/>
  </r>
  <r>
    <n v="254"/>
    <x v="1"/>
    <s v="DEBILIDAD"/>
    <s v="PROCESO GESTIÓN CONTROL INTERNO"/>
    <s v="D12. No cumplir con la agenda de auditoría debido a diversos factores"/>
    <x v="0"/>
    <x v="1"/>
  </r>
  <r>
    <n v="255"/>
    <x v="1"/>
    <s v="DEBILIDAD"/>
    <s v="PROCESO GESTIÓN CONTROL INTERNO"/>
    <s v="D13. Afectación en la entrega de resultados por no lograr cerrar los planes de mejoramiento externos por baja ejecución de las actividades que son responsabilidad de los lideres de procesos y sus equipos de trabajo. "/>
    <x v="3"/>
    <x v="24"/>
  </r>
  <r>
    <n v="256"/>
    <x v="1"/>
    <s v="DEBILIDAD"/>
    <s v="PROCESO GESTIÓN CONTROL INTERNO"/>
    <s v="D14. Falta de utilización del mecanismo de controversias establecido en el procedimiento de auditoría Interna para el caso de las auditorías tercerizadas a los sistemas de gestión."/>
    <x v="1"/>
    <x v="6"/>
  </r>
  <r>
    <n v="257"/>
    <x v="1"/>
    <s v="DEBILIDAD"/>
    <s v="PROCESO GESTIÓN CONTROL INTERNO"/>
    <s v="D15. Falta de lineamientos para le manejo digital del acervo documental en ambiente de auditoría."/>
    <x v="0"/>
    <x v="27"/>
  </r>
  <r>
    <n v="258"/>
    <x v="0"/>
    <s v="DEBILIDAD"/>
    <s v="PROCESO GESTIÓN DE PROYECTOS ESPECIALES Y RELACIONES INTERINSTITUCIONALES"/>
    <s v="D1. Rotación constante de personal de término fijo y OPS."/>
    <x v="1"/>
    <x v="15"/>
  </r>
  <r>
    <n v="259"/>
    <x v="0"/>
    <s v="DEBILIDAD"/>
    <s v="PROCESO GESTIÓN DE PROYECTOS ESPECIALES Y RELACIONES INTERINSTITUCIONALES"/>
    <s v="D2. Falta de articulación e interacción con los demás Procesos de la Universidad."/>
    <x v="0"/>
    <x v="0"/>
  </r>
  <r>
    <n v="260"/>
    <x v="0"/>
    <s v="DEBILIDAD"/>
    <s v="PROCESO GESTIÓN DE PROYECTOS ESPECIALES Y RELACIONES INTERINSTITUCIONALES"/>
    <s v="D3. Falta de capacitación en la implementación de nuevas herramientas tecnológicas y nuevas metodologías al personal de la Dirección."/>
    <x v="1"/>
    <x v="37"/>
  </r>
  <r>
    <n v="261"/>
    <x v="0"/>
    <s v="DEBILIDAD"/>
    <s v="PROCESO GESTIÓN DE PROYECTOS ESPECIALES Y RELACIONES INTERINSTITUCIONALES"/>
    <s v="D4. Falta oportunidad en soporte técnico y mantenimiento de equipos."/>
    <x v="4"/>
    <x v="23"/>
  </r>
  <r>
    <n v="262"/>
    <x v="0"/>
    <s v="DEBILIDAD"/>
    <s v="PROCESO GESTIÓN DE PROYECTOS ESPECIALES Y RELACIONES INTERINSTITUCIONALES"/>
    <s v="D5. El modelo y los tiempos de contratación de la Universidad es ineficiente."/>
    <x v="0"/>
    <x v="1"/>
  </r>
  <r>
    <n v="263"/>
    <x v="0"/>
    <s v="DEBILIDAD"/>
    <s v="PROCESO GESTIÓN DE PROYECTOS ESPECIALES Y RELACIONES INTERINSTITUCIONALES"/>
    <s v="D6. Proyección sobredimensionada de la meta de presupuesto anual, sin contemplar la naturaleza de la Dirección de Proyectos Especiales y Relaciones Interinstitucionales."/>
    <x v="2"/>
    <x v="4"/>
  </r>
  <r>
    <n v="264"/>
    <x v="0"/>
    <s v="DEBILIDAD"/>
    <s v="PROCESO GESTIÓN DE PROYECTOS ESPECIALES Y RELACIONES INTERINSTITUCIONALES"/>
    <s v="D7. Usualmente no se puede dar cabal cumplimiento al cronograma de mantenimiento de equipos, por dificultades en el desplazamiento del personal de sistemas; así mismo, cuando se presentan fallas en la prestación del servicio de Internet, al consultar al área de sistemas argumentan que tienen otras prioridades. "/>
    <x v="5"/>
    <x v="32"/>
  </r>
  <r>
    <n v="265"/>
    <x v="0"/>
    <s v="DEBILIDAD"/>
    <s v="PROCESO GESTIÓN DE PROYECTOS ESPECIALES Y RELACIONES INTERINSTITUCIONALES"/>
    <s v="D8. No se cuenta con la capacidad suficiente de personal para atender las necesidades del proceso."/>
    <x v="1"/>
    <x v="8"/>
  </r>
  <r>
    <n v="266"/>
    <x v="1"/>
    <s v="DEBILIDAD"/>
    <s v="PROCESO GESTIÓN DE PROYECTOS ESPECIALES Y RELACIONES INTERINSTITUCIONALES"/>
    <s v="D1. Rotación constante de personal de término fijo y OPS."/>
    <x v="1"/>
    <x v="15"/>
  </r>
  <r>
    <n v="267"/>
    <x v="1"/>
    <s v="DEBILIDAD"/>
    <s v="PROCESO GESTIÓN DE PROYECTOS ESPECIALES Y RELACIONES INTERINSTITUCIONALES"/>
    <s v="D2. Falta de articulación e interacción con los demás Procesos de la Universidad."/>
    <x v="0"/>
    <x v="0"/>
  </r>
  <r>
    <n v="268"/>
    <x v="1"/>
    <s v="DEBILIDAD"/>
    <s v="PROCESO GESTIÓN DE PROYECTOS ESPECIALES Y RELACIONES INTERINSTITUCIONALES"/>
    <s v="D3. Falta de capacitación en la implementación de nuevas herramientas tecnológicas y nuevas metodologías al personal de la Dirección."/>
    <x v="1"/>
    <x v="37"/>
  </r>
  <r>
    <n v="269"/>
    <x v="1"/>
    <s v="DEBILIDAD"/>
    <s v="PROCESO GESTIÓN DE PROYECTOS ESPECIALES Y RELACIONES INTERINSTITUCIONALES"/>
    <s v="D4. Falta oportunidad en soporte técnico y mantenimiento de equipos."/>
    <x v="4"/>
    <x v="23"/>
  </r>
  <r>
    <n v="270"/>
    <x v="1"/>
    <s v="DEBILIDAD"/>
    <s v="PROCESO GESTIÓN DE PROYECTOS ESPECIALES Y RELACIONES INTERINSTITUCIONALES"/>
    <s v="D5. El modelo y los tiempos de contratación de la Universidad es ineficiente."/>
    <x v="0"/>
    <x v="1"/>
  </r>
  <r>
    <n v="271"/>
    <x v="1"/>
    <s v="DEBILIDAD"/>
    <s v="PROCESO GESTIÓN DE PROYECTOS ESPECIALES Y RELACIONES INTERINSTITUCIONALES"/>
    <s v="D6. Proyección sobredimensionada de la meta de presupuesto anual, sin contemplar la naturaleza de la Dirección de Proyectos Especiales y Relaciones Interinstitucionales."/>
    <x v="2"/>
    <x v="4"/>
  </r>
  <r>
    <n v="272"/>
    <x v="1"/>
    <s v="DEBILIDAD"/>
    <s v="PROCESO GESTIÓN DE PROYECTOS ESPECIALES Y RELACIONES INTERINSTITUCIONALES"/>
    <s v="D7. Usualmente no se puede dar cabal cumplimiento al cronograma de mantenimiento de equipos, por dificultades en el desplazamiento del personal de sistemas; así mismo, cuando se presentan fallas en la prestación del servicio de Internet, al consultar al área de sistemas argumentan que tienen otras prioridades. "/>
    <x v="5"/>
    <x v="32"/>
  </r>
  <r>
    <n v="273"/>
    <x v="1"/>
    <s v="DEBILIDAD"/>
    <s v="PROCESO GESTIÓN DE PROYECTOS ESPECIALES Y RELACIONES INTERINSTITUCIONALES"/>
    <s v="D8. No se cuenta con la capacidad suficiente de personal para atender las necesidades del proceso."/>
    <x v="1"/>
    <x v="8"/>
  </r>
  <r>
    <n v="274"/>
    <x v="0"/>
    <s v="DEBILIDAD"/>
    <s v="PROCESO GESTIÓN DOCUMENTAL"/>
    <s v="D1. Recurso humano insuficiente para la operación del Proceso. "/>
    <x v="1"/>
    <x v="8"/>
  </r>
  <r>
    <n v="275"/>
    <x v="0"/>
    <s v="DEBILIDAD"/>
    <s v="PROCESO GESTIÓN DOCUMENTAL"/>
    <s v="D2. Equipo tecnológico insuficiente para la operación del proceso. (Seccionales)"/>
    <x v="4"/>
    <x v="40"/>
  </r>
  <r>
    <n v="276"/>
    <x v="0"/>
    <s v="DEBILIDAD"/>
    <s v="PROCESO GESTIÓN DOCUMENTAL"/>
    <s v="D3. Falta la adquisición de un software de Administración Documental en la Universidad."/>
    <x v="4"/>
    <x v="21"/>
  </r>
  <r>
    <n v="277"/>
    <x v="0"/>
    <s v="DEBILIDAD"/>
    <s v="PROCESO GESTIÓN DOCUMENTAL"/>
    <s v="D4. Falta de oportunidad en el servicio de transporte para transferencias documentales."/>
    <x v="4"/>
    <x v="41"/>
  </r>
  <r>
    <n v="278"/>
    <x v="0"/>
    <s v="DEBILIDAD"/>
    <s v="PROCESO GESTIÓN DOCUMENTAL"/>
    <s v="D5. Incumplimiento a la resolución 161 de Agosto de 2016,  la cual da la directriz para la radicación de documentos."/>
    <x v="0"/>
    <x v="27"/>
  </r>
  <r>
    <n v="279"/>
    <x v="0"/>
    <s v="DEBILIDAD"/>
    <s v="PROCESO GESTIÓN DOCUMENTAL"/>
    <s v="D6. Limitación en la promoción del personal dentro del Proceso."/>
    <x v="7"/>
    <x v="38"/>
  </r>
  <r>
    <n v="280"/>
    <x v="0"/>
    <s v="DEBILIDAD"/>
    <s v="PROCESO GESTIÓN DOCUMENTAL"/>
    <s v="D7. Hackers Informáticos internos "/>
    <x v="4"/>
    <x v="21"/>
  </r>
  <r>
    <n v="281"/>
    <x v="0"/>
    <s v="DEBILIDAD"/>
    <s v="PROCESO GESTIÓN DOCUMENTAL"/>
    <s v="D8. Vulnerabilidad de la información digital."/>
    <x v="4"/>
    <x v="21"/>
  </r>
  <r>
    <n v="282"/>
    <x v="0"/>
    <s v="DEBILIDAD"/>
    <s v="PROCESO GESTIÓN DOCUMENTAL"/>
    <s v="D9. Malas practicas archivísticas por las condiciones inseguras en el manejo del mismo a falta de elementos de proteccion "/>
    <x v="1"/>
    <x v="6"/>
  </r>
  <r>
    <n v="283"/>
    <x v="0"/>
    <s v="DEBILIDAD"/>
    <s v="PROCESO GESTIÓN DOCUMENTAL"/>
    <s v="D10. Se generan reprocesos en las actividades articuladas con otros procesos"/>
    <x v="0"/>
    <x v="0"/>
  </r>
  <r>
    <n v="284"/>
    <x v="0"/>
    <s v="DEBILIDAD"/>
    <s v="PROCESO GESTIÓN DOCUMENTAL"/>
    <s v="D11. No se cuenta con actividades programadas de sensibilización y preparación para atender a la comunidad que presenta condiciones especiales"/>
    <x v="2"/>
    <x v="16"/>
  </r>
  <r>
    <n v="285"/>
    <x v="0"/>
    <s v="DEBILIDAD"/>
    <s v="PROCESO GESTIÓN DOCUMENTAL"/>
    <s v="D12. No contar con el edificio para el archivo central de conformidad con la normatividad (Acuerdo 042 de 2002 y 037 de 2002)"/>
    <x v="4"/>
    <x v="9"/>
  </r>
  <r>
    <n v="286"/>
    <x v="0"/>
    <s v="DEBILIDAD"/>
    <s v="PROCESO GESTIÓN DOCUMENTAL"/>
    <s v="D13. Capacitación insuficiente en temas a fines del proceso"/>
    <x v="1"/>
    <x v="37"/>
  </r>
  <r>
    <n v="287"/>
    <x v="0"/>
    <s v="DEBILIDAD"/>
    <s v="PROCESO GESTIÓN DOCUMENTAL"/>
    <s v="D14. No garantizar la custodia del archivo acorde con los tiempos establecidos en las tablas de retención documental"/>
    <x v="0"/>
    <x v="1"/>
  </r>
  <r>
    <n v="288"/>
    <x v="0"/>
    <s v="DEBILIDAD"/>
    <s v="PROCESO GESTIÓN DOCUMENTAL"/>
    <s v="D15. Falta de control en los roles administrativos en la creación de nuevos usuarios en el aplicativo Hermesoft 3.2 &quot;aplicativo de correspondencia&quot; (Aplicativo de la Universidad de Pamplona)"/>
    <x v="3"/>
    <x v="5"/>
  </r>
  <r>
    <n v="289"/>
    <x v="0"/>
    <s v="DEBILIDAD"/>
    <s v="PROCESO GESTIÓN DOCUMENTAL"/>
    <s v="D16. No disponer del archivo físico para la oportuna respuesta de solicitudes"/>
    <x v="4"/>
    <x v="9"/>
  </r>
  <r>
    <n v="290"/>
    <x v="0"/>
    <s v="DEBILIDAD"/>
    <s v="PROCESO GESTIÓN DOCUMENTAL"/>
    <s v="D17. Eliminación de documentos físicos o digitales por parte de las diferentes áreas"/>
    <x v="0"/>
    <x v="30"/>
  </r>
  <r>
    <n v="293"/>
    <x v="1"/>
    <s v="DEBILIDAD"/>
    <s v="PROCESO GESTIÓN DOCUMENTAL"/>
    <s v="D1. Falta la adquisición de un software de Administración Documental en la Universidad."/>
    <x v="4"/>
    <x v="21"/>
  </r>
  <r>
    <n v="294"/>
    <x v="1"/>
    <s v="DEBILIDAD"/>
    <s v="PROCESO GESTIÓN DOCUMENTAL"/>
    <s v="D2. Falta de oportunidad en el servicio de transporte para transferencias documentales."/>
    <x v="4"/>
    <x v="41"/>
  </r>
  <r>
    <n v="295"/>
    <x v="1"/>
    <s v="DEBILIDAD"/>
    <s v="PROCESO GESTIÓN DOCUMENTAL"/>
    <s v="D3. Incumplimiento a la resolución 161 de Agosto de 2016,  la cual da la directriz para la radicación de documentos."/>
    <x v="0"/>
    <x v="27"/>
  </r>
  <r>
    <n v="296"/>
    <x v="1"/>
    <s v="DEBILIDAD"/>
    <s v="PROCESO GESTIÓN DOCUMENTAL"/>
    <s v="D4. Limitación en la promoción del personal dentro del Proceso."/>
    <x v="7"/>
    <x v="38"/>
  </r>
  <r>
    <n v="297"/>
    <x v="1"/>
    <s v="DEBILIDAD"/>
    <s v="PROCESO GESTIÓN DOCUMENTAL"/>
    <s v="D5. Hackers Informáticos internos "/>
    <x v="4"/>
    <x v="21"/>
  </r>
  <r>
    <n v="298"/>
    <x v="1"/>
    <s v="DEBILIDAD"/>
    <s v="PROCESO GESTIÓN DOCUMENTAL"/>
    <s v="D6. Vulnerabilidad de la información digital."/>
    <x v="4"/>
    <x v="21"/>
  </r>
  <r>
    <n v="299"/>
    <x v="1"/>
    <s v="DEBILIDAD"/>
    <s v="PROCESO GESTIÓN DOCUMENTAL"/>
    <s v="D7. Malas practicas archivísticas por las condiciones inseguras en el manejo del mismo a falta de elementos de protección"/>
    <x v="1"/>
    <x v="6"/>
  </r>
  <r>
    <n v="300"/>
    <x v="1"/>
    <s v="DEBILIDAD"/>
    <s v="PROCESO GESTIÓN DOCUMENTAL"/>
    <s v="D8. Se generan reprocesos en las actividades articuladas con otros procesos"/>
    <x v="0"/>
    <x v="0"/>
  </r>
  <r>
    <n v="301"/>
    <x v="1"/>
    <s v="DEBILIDAD"/>
    <s v="PROCESO GESTIÓN DOCUMENTAL"/>
    <s v="D9. No se cuenta con actividades programadas de sensibilización y preparación para atender a la comunidad que presenta condiciones especiales"/>
    <x v="2"/>
    <x v="16"/>
  </r>
  <r>
    <n v="302"/>
    <x v="1"/>
    <s v="DEBILIDAD"/>
    <s v="PROCESO GESTIÓN DOCUMENTAL"/>
    <s v="D10. No contar con el edificio para el archivo central de conformidad con la normatividad (Acuerdo 042 de 2002 y 037 de 2002)"/>
    <x v="4"/>
    <x v="9"/>
  </r>
  <r>
    <n v="303"/>
    <x v="1"/>
    <s v="DEBILIDAD"/>
    <s v="PROCESO GESTIÓN DOCUMENTAL"/>
    <s v="D11. Capacitación insuficiente en temas a fines del proceso"/>
    <x v="1"/>
    <x v="37"/>
  </r>
  <r>
    <n v="304"/>
    <x v="1"/>
    <s v="DEBILIDAD"/>
    <s v="PROCESO GESTIÓN DOCUMENTAL"/>
    <s v="D12. No garantizar la custodia del archivo acorde con los tiempos establecidos en las tablas de retención documental"/>
    <x v="0"/>
    <x v="1"/>
  </r>
  <r>
    <n v="305"/>
    <x v="1"/>
    <s v="DEBILIDAD"/>
    <s v="PROCESO GESTIÓN DOCUMENTAL"/>
    <s v="D13. Falta de control en los roles administrativos en la creación de nuevos usuarios en el aplicativo Hermesoft 3.2 &quot;aplicativo de correspondencia&quot; (Aplicativo de la Universidad de Pamplona)"/>
    <x v="3"/>
    <x v="5"/>
  </r>
  <r>
    <n v="306"/>
    <x v="1"/>
    <s v="DEBILIDAD"/>
    <s v="PROCESO GESTIÓN DOCUMENTAL"/>
    <s v="D14. No disponer del archivo físico para la oportuna respuesta de solicitudes"/>
    <x v="4"/>
    <x v="9"/>
  </r>
  <r>
    <n v="307"/>
    <x v="1"/>
    <s v="DEBILIDAD"/>
    <s v="PROCESO GESTIÓN DOCUMENTAL"/>
    <s v="D15. Eliminación de documentos físicos o digitales por parte de las diferentes áreas"/>
    <x v="0"/>
    <x v="30"/>
  </r>
  <r>
    <n v="308"/>
    <x v="1"/>
    <s v="DEBILIDAD"/>
    <s v="PROCESO GESTIÓN DOCUMENTAL"/>
    <s v="D16. No garantizar el cumplimiento delacuerdo 038 de 2002 - artículo 2 del archivo general de la nación."/>
    <x v="0"/>
    <x v="27"/>
  </r>
  <r>
    <n v="309"/>
    <x v="0"/>
    <s v="DEBILIDAD"/>
    <s v="PROCESO GESTIÓN FINANCIERA"/>
    <s v="D1 Espacios físicos insuficientes para el desarrollo de las actividades rutinarias del proceso"/>
    <x v="4"/>
    <x v="9"/>
  </r>
  <r>
    <n v="310"/>
    <x v="0"/>
    <s v="DEBILIDAD"/>
    <s v="PROCESO GESTIÓN FINANCIERA"/>
    <s v="D2. Identificación y aplicación de la normatividad legal vigente desde su publicación."/>
    <x v="0"/>
    <x v="27"/>
  </r>
  <r>
    <n v="311"/>
    <x v="0"/>
    <s v="DEBILIDAD"/>
    <s v="PROCESO GESTIÓN FINANCIERA"/>
    <s v="D3. Incumplimiento en pagos, por no ejercer la operación, debido a  bloqueos producto de paros o asonadas  en la Universidad de Cundinamarca."/>
    <x v="0"/>
    <x v="25"/>
  </r>
  <r>
    <n v="312"/>
    <x v="0"/>
    <s v="DEBILIDAD"/>
    <s v="PROCESO GESTIÓN FINANCIERA"/>
    <s v="D4. Desconocimiento de la información por falta de socialización de los procesos responsables del cambio de la normatividad interna."/>
    <x v="0"/>
    <x v="12"/>
  </r>
  <r>
    <n v="313"/>
    <x v="0"/>
    <s v="DEBILIDAD"/>
    <s v="PROCESO GESTIÓN FINANCIERA"/>
    <s v="D5.  Falta implementar mecanismos que mejoren la conectividad en las contingencias que se puedan llegar a presentar por eventos inesperados, los cuales puedan afectar la prestación normal del servicio, en modalidad presencial, teletrabajo o trabajo desde casa. (Equipos, Internet, software, hardware)"/>
    <x v="4"/>
    <x v="28"/>
  </r>
  <r>
    <n v="314"/>
    <x v="0"/>
    <s v="DEBILIDAD"/>
    <s v="PROCESO GESTIÓN FINANCIERA"/>
    <s v="D6. No se cuenta con software en línea  que permita la comunicación de todos los procesos internos y externos "/>
    <x v="4"/>
    <x v="21"/>
  </r>
  <r>
    <n v="315"/>
    <x v="0"/>
    <s v="DEBILIDAD"/>
    <s v="PROCESO GESTIÓN FINANCIERA"/>
    <s v="D7. No se cuenta con herramientas digitales en línea para realizar seguimiento a los tramites radicados por las Partes interesadas."/>
    <x v="4"/>
    <x v="21"/>
  </r>
  <r>
    <n v="316"/>
    <x v="0"/>
    <s v="DEBILIDAD"/>
    <s v="PROCESO GESTIÓN FINANCIERA"/>
    <s v="D8. No se cuenta con la practica de uso de las firmas digitales que ayuden a gestionar de forma  ágil los tramites. "/>
    <x v="1"/>
    <x v="6"/>
  </r>
  <r>
    <n v="317"/>
    <x v="0"/>
    <s v="DEBILIDAD"/>
    <s v="PROCESO GESTIÓN FINANCIERA"/>
    <s v="D9. No se cuenta con el personal suficiente para la ejecución normal de las actividades de la oficina de contabilidad."/>
    <x v="1"/>
    <x v="8"/>
  </r>
  <r>
    <n v="318"/>
    <x v="0"/>
    <s v="DEBILIDAD"/>
    <s v="PROCESO GESTIÓN FINANCIERA"/>
    <s v="D10. Incumplimiento de los supervisores en las directrices establecidas en el manual de contratación, lo cual  afecta los resultados  del proceso financiero, debido a los reprocesos que se deben realizar.."/>
    <x v="0"/>
    <x v="27"/>
  </r>
  <r>
    <n v="319"/>
    <x v="0"/>
    <s v="DEBILIDAD"/>
    <s v="PROCESO GESTIÓN FINANCIERA"/>
    <s v="D11. Realizar duplicidad de pagos o demora  en los pagos por falta de controles oportunos que permitan identificar la trazabilidad de radicación por correo electrónico."/>
    <x v="3"/>
    <x v="5"/>
  </r>
  <r>
    <n v="320"/>
    <x v="0"/>
    <s v="DEBILIDAD"/>
    <s v="PROCESO GESTIÓN FINANCIERA"/>
    <s v="D12. Se radican cuentas de carácter urgente después de la 6pm lo cual impide dar respuesta oportuna a las solicitudes."/>
    <x v="0"/>
    <x v="1"/>
  </r>
  <r>
    <n v="321"/>
    <x v="0"/>
    <s v="DEBILIDAD"/>
    <s v="PROCESO GESTIÓN FINANCIERA"/>
    <s v="D13. Información radicada virtualmente sin los parámetros establecidos legales y de calidad           ( documentos originales sin firmas; pagos de seguridad social falsificados, soportes incompletos)"/>
    <x v="0"/>
    <x v="19"/>
  </r>
  <r>
    <n v="322"/>
    <x v="0"/>
    <s v="DEBILIDAD"/>
    <s v="PROCESO GESTIÓN FINANCIERA"/>
    <s v="D14. Falta de actualización de la información documentada del proceso y la continuidad en la aplicación de los nuevos controles y prácticas establecidas. Hallazgo 16"/>
    <x v="0"/>
    <x v="30"/>
  </r>
  <r>
    <n v="323"/>
    <x v="0"/>
    <s v="DEBILIDAD"/>
    <s v="PROCESO GESTIÓN FINANCIERA"/>
    <s v="D15. No considerar las acciones de mejora para mitigar el impacto de incumplimiento en metas establecidas en los indicadores. Hallazgo 17"/>
    <x v="2"/>
    <x v="16"/>
  </r>
  <r>
    <n v="324"/>
    <x v="0"/>
    <s v="DEBILIDAD"/>
    <s v="PROCESO GESTIÓN FINANCIERA"/>
    <s v="D16. No se realizo planificación para priorizar las actividades laborales para el trabajo desde casa, lo cual genero (sobre carga laboral y estrés en los funcionarios)."/>
    <x v="7"/>
    <x v="42"/>
  </r>
  <r>
    <n v="325"/>
    <x v="1"/>
    <s v="DEBILIDAD"/>
    <s v="PROCESO GESTIÓN FINANCIERA"/>
    <s v="D1 Espacios físicos insuficientes para el desarrollo de las actividades rutinarias del proceso"/>
    <x v="4"/>
    <x v="9"/>
  </r>
  <r>
    <n v="327"/>
    <x v="1"/>
    <s v="DEBILIDAD"/>
    <s v="PROCESO GESTIÓN FINANCIERA"/>
    <s v="D2. Desconocimiento de la información por falta de socialización de los procesos responsables en cuanto al cambio o actualizaciones de la normatividad interna y externa."/>
    <x v="0"/>
    <x v="12"/>
  </r>
  <r>
    <n v="329"/>
    <x v="1"/>
    <s v="DEBILIDAD"/>
    <s v="PROCESO GESTIÓN FINANCIERA"/>
    <s v="D3. No se cuenta con herramientas digitales en línea para realizar seguimiento a los tramites radicados por las Partes interesadas."/>
    <x v="4"/>
    <x v="21"/>
  </r>
  <r>
    <n v="330"/>
    <x v="1"/>
    <s v="DEBILIDAD"/>
    <s v="PROCESO GESTIÓN FINANCIERA"/>
    <s v="D4. No se cuenta con la practica de uso de las firmas digitales que ayuden a gestionar de forma  ágil los tramites. "/>
    <x v="1"/>
    <x v="6"/>
  </r>
  <r>
    <n v="332"/>
    <x v="1"/>
    <s v="DEBILIDAD"/>
    <s v="PROCESO GESTIÓN FINANCIERA"/>
    <s v="D5. No se cuenta con el personal suficiente para la ejecución normal de las actividades de la oficina de contabilidad."/>
    <x v="1"/>
    <x v="8"/>
  </r>
  <r>
    <n v="334"/>
    <x v="1"/>
    <s v="DEBILIDAD"/>
    <s v="PROCESO GESTIÓN FINANCIERA"/>
    <s v="D6. Incumplimiento de los supervisores en las directrices establecidas en el manual de contratación, lo cual  afecta los resultados  del proceso financiero, debido a los reprocesos que se deben realizar.."/>
    <x v="0"/>
    <x v="27"/>
  </r>
  <r>
    <n v="335"/>
    <x v="1"/>
    <s v="DEBILIDAD"/>
    <s v="PROCESO GESTIÓN FINANCIERA"/>
    <s v="D7. Realizar duplicidad de pagos (consejo superior, monitorias, servicios públicos, liquidaciones, nomina, salidas académicas, viáticos, entre otros) o demora  en los pagos por falta de controles oportunos que permitan identificar la trazabilidad de radicación por correo electrónico e Integradoc."/>
    <x v="3"/>
    <x v="5"/>
  </r>
  <r>
    <n v="336"/>
    <x v="1"/>
    <s v="DEBILIDAD"/>
    <s v="PROCESO GESTIÓN FINANCIERA"/>
    <s v="D8. Alta carga operativa en el proceso cuando se radican cuentas de carácter urgente después de la 6pm."/>
    <x v="1"/>
    <x v="8"/>
  </r>
  <r>
    <n v="337"/>
    <x v="1"/>
    <s v="DEBILIDAD"/>
    <s v="PROCESO GESTIÓN FINANCIERA"/>
    <s v="D9. Información radicada virtualmente sin los parámetros establecidos legales y de calidad (documentos originales sin firmas; pagos de seguridad social falsificados, soportes incompletos), lo cual genera reprocesos en el momento de la revisión de la cuenta para pago. "/>
    <x v="0"/>
    <x v="19"/>
  </r>
  <r>
    <n v="338"/>
    <x v="1"/>
    <s v="DEBILIDAD"/>
    <s v="PROCESO GESTIÓN FINANCIERA"/>
    <s v="D10. Falta de actualización de la información documentada del proceso y la continuidad en la aplicación de los nuevos controles y prácticas establecidas. "/>
    <x v="0"/>
    <x v="30"/>
  </r>
  <r>
    <n v="339"/>
    <x v="1"/>
    <s v="DEBILIDAD"/>
    <s v="PROCESO GESTIÓN FINANCIERA"/>
    <s v="D11. No se asegura el análisis y evaluación de los resultados generados por el seguimiento y medición de los indicadores establecidos para el proceso que asegure el cumplimiento de metas"/>
    <x v="3"/>
    <x v="36"/>
  </r>
  <r>
    <n v="341"/>
    <x v="1"/>
    <s v="DEBILIDAD"/>
    <s v="PROCESO GESTIÓN FINANCIERA"/>
    <s v="D12. Reprocesos en el área financiera por falta de interpretación y desconocimiento de los procesos referente a los códigos presupuestales de la universidad para la planificación del presupuesto y compra (objeto del gasto a adquirir por el área solicitante)."/>
    <x v="5"/>
    <x v="11"/>
  </r>
  <r>
    <n v="342"/>
    <x v="1"/>
    <s v="DEBILIDAD"/>
    <s v="PROCESO GESTIÓN FINANCIERA"/>
    <s v="D13. Dificultad en la recuperación de la cartera de estudiantes a los cuales  se les aplico el beneficio de gratuidad de matricula y que fueron no beneficiados por el ministerio de educación nacional a partir del IIPA 2021 "/>
    <x v="5"/>
    <x v="32"/>
  </r>
  <r>
    <n v="345"/>
    <x v="0"/>
    <s v="DEBILIDAD"/>
    <s v="PROCESO GESTIÓN FORMACIÓN Y APRENDIZAJE "/>
    <s v="D1. Insuficiente recurso financiero para la vinculación de talento humano para la gestión de los procesos"/>
    <x v="5"/>
    <x v="11"/>
  </r>
  <r>
    <n v="346"/>
    <x v="0"/>
    <s v="DEBILIDAD"/>
    <s v="PROCESO GESTIÓN FORMACIÓN Y APRENDIZAJE "/>
    <s v="D2. Insuficiente seguimiento al proceso de evaluación de desempeño docente"/>
    <x v="3"/>
    <x v="5"/>
  </r>
  <r>
    <n v="347"/>
    <x v="0"/>
    <s v="DEBILIDAD"/>
    <s v="PROCESO GESTIÓN FORMACIÓN Y APRENDIZAJE "/>
    <s v="D3. Reducir índices de repitencia y de graduación tardía"/>
    <x v="2"/>
    <x v="4"/>
  </r>
  <r>
    <n v="348"/>
    <x v="0"/>
    <s v="DEBILIDAD"/>
    <s v="PROCESO GESTIÓN FORMACIÓN Y APRENDIZAJE "/>
    <s v="D4. El número de profesores de planta incide en los procesos de registro calificado y acreditación de alta calidad"/>
    <x v="1"/>
    <x v="8"/>
  </r>
  <r>
    <n v="349"/>
    <x v="0"/>
    <s v="DEBILIDAD"/>
    <s v="PROCESO GESTIÓN FORMACIÓN Y APRENDIZAJE "/>
    <s v="D5. Falta de articulación entre los programas de pregrado y postgrado en procesos académicos"/>
    <x v="0"/>
    <x v="0"/>
  </r>
  <r>
    <n v="350"/>
    <x v="0"/>
    <s v="DEBILIDAD"/>
    <s v="PROCESO GESTIÓN FORMACIÓN Y APRENDIZAJE "/>
    <s v="D6. Insuficiente apoyo institucional para los planes de mejoramiento derivados de los ejercicios de autoevaluación"/>
    <x v="1"/>
    <x v="6"/>
  </r>
  <r>
    <n v="351"/>
    <x v="0"/>
    <s v="DEBILIDAD"/>
    <s v="PROCESO GESTIÓN FORMACIÓN Y APRENDIZAJE "/>
    <s v="D7. Currículos y planes de estudio que requieren actualización."/>
    <x v="0"/>
    <x v="30"/>
  </r>
  <r>
    <n v="352"/>
    <x v="0"/>
    <s v="DEBILIDAD"/>
    <s v="PROCESO GESTIÓN FORMACIÓN Y APRENDIZAJE "/>
    <s v="D8. Procesos investigativos desarticulados con las líneas de investigación institucional (Postgrados)"/>
    <x v="0"/>
    <x v="0"/>
  </r>
  <r>
    <n v="353"/>
    <x v="0"/>
    <s v="DEBILIDAD"/>
    <s v="PROCESO GESTIÓN FORMACIÓN Y APRENDIZAJE "/>
    <s v="D9. Bajos ingresos por  concepto de matriculas en los programas de especialización y maestrías (Descuentos aplicados, decrecimiento en el número de estudiantes y número mínimo de estudiantes para cumplir el punto de equilibrio)"/>
    <x v="5"/>
    <x v="11"/>
  </r>
  <r>
    <n v="354"/>
    <x v="0"/>
    <s v="DEBILIDAD"/>
    <s v="PROCESO GESTIÓN FORMACIÓN Y APRENDIZAJE "/>
    <s v="D10. Baja protección, disponibilidad, custodia e integridad de la información física y digital en las áreas que conforman el proceso de Formación y Aprendizaje"/>
    <x v="0"/>
    <x v="19"/>
  </r>
  <r>
    <n v="355"/>
    <x v="0"/>
    <s v="DEBILIDAD"/>
    <s v="PROCESO GESTIÓN FORMACIÓN Y APRENDIZAJE "/>
    <s v="D11. La opción de grado de semestre avanzado en postgrados sin continuidad ni culminación del programa."/>
    <x v="0"/>
    <x v="25"/>
  </r>
  <r>
    <n v="356"/>
    <x v="0"/>
    <s v="DEBILIDAD"/>
    <s v="PROCESO GESTIÓN FORMACIÓN Y APRENDIZAJE "/>
    <s v="D12. Falta de una política institucional para ofrecer descuentos en convenios suscritos (postgrados)"/>
    <x v="2"/>
    <x v="4"/>
  </r>
  <r>
    <n v="357"/>
    <x v="0"/>
    <s v="DEBILIDAD"/>
    <s v="PROCESO GESTIÓN FORMACIÓN Y APRENDIZAJE "/>
    <s v="D13. No se cuenta con un portafolio de opciones de pago y de financiamiento para los programas de postgrados"/>
    <x v="2"/>
    <x v="16"/>
  </r>
  <r>
    <n v="358"/>
    <x v="0"/>
    <s v="DEBILIDAD"/>
    <s v="PROCESO GESTIÓN FORMACIÓN Y APRENDIZAJE "/>
    <s v="D14. No hay publicidad sobre los programas de postgrados"/>
    <x v="0"/>
    <x v="12"/>
  </r>
  <r>
    <n v="359"/>
    <x v="0"/>
    <s v="DEBILIDAD"/>
    <s v="PROCESO GESTIÓN FORMACIÓN Y APRENDIZAJE "/>
    <s v="D15. Entrega de información incompleta para la creación de cursos virtuales"/>
    <x v="0"/>
    <x v="19"/>
  </r>
  <r>
    <n v="360"/>
    <x v="0"/>
    <s v="DEBILIDAD"/>
    <s v="PROCESO GESTIÓN FORMACIÓN Y APRENDIZAJE "/>
    <s v="D16. Falta de estrategias para el almacenamiento de los contenidos desarrollados en los cursos y aulas virtuales"/>
    <x v="2"/>
    <x v="16"/>
  </r>
  <r>
    <n v="361"/>
    <x v="0"/>
    <s v="DEBILIDAD"/>
    <s v="PROCESO GESTIÓN FORMACIÓN Y APRENDIZAJE "/>
    <s v="D17. Retrasos en la entrega de los cursos o aulas virtuales a los programas académicos"/>
    <x v="0"/>
    <x v="1"/>
  </r>
  <r>
    <n v="362"/>
    <x v="0"/>
    <s v="DEBILIDAD"/>
    <s v="PROCESO GESTIÓN FORMACIÓN Y APRENDIZAJE "/>
    <s v="D18. Equipos inadecuados para la operación de las diferentes dependencias del proceso de Formación y Aprendizaje"/>
    <x v="4"/>
    <x v="10"/>
  </r>
  <r>
    <n v="363"/>
    <x v="0"/>
    <s v="DEBILIDAD"/>
    <s v="PROCESO GESTIÓN FORMACIÓN Y APRENDIZAJE "/>
    <s v="D19. No se cuenta con una definición de directrices sobre los procesos de contratación con entidades extranjeras"/>
    <x v="2"/>
    <x v="4"/>
  </r>
  <r>
    <n v="364"/>
    <x v="0"/>
    <s v="DEBILIDAD"/>
    <s v="PROCESO GESTIÓN FORMACIÓN Y APRENDIZAJE "/>
    <s v="D20. Falta de socialización sobre las estrategias de inclusión en la producción de contenido y la atención que se brinda a las partes interesadas del proceso de Formación y Aprendizaje"/>
    <x v="0"/>
    <x v="12"/>
  </r>
  <r>
    <n v="365"/>
    <x v="0"/>
    <s v="DEBILIDAD"/>
    <s v="PROCESO GESTIÓN FORMACIÓN Y APRENDIZAJE "/>
    <s v="D21. Sistematización oportuna de la información en las  horas aprobadas del componente CTI para los docentes"/>
    <x v="0"/>
    <x v="39"/>
  </r>
  <r>
    <n v="366"/>
    <x v="0"/>
    <s v="DEBILIDAD"/>
    <s v="PROCESO GESTIÓN FORMACIÓN Y APRENDIZAJE "/>
    <s v="D22. Deficiencias en los procesos de evaluación a docentes a causa de los tiempos de vinculación en la plataforma por el tipo de contratación (Postgrados)"/>
    <x v="0"/>
    <x v="1"/>
  </r>
  <r>
    <n v="367"/>
    <x v="0"/>
    <s v="DEBILIDAD"/>
    <s v="PROCESO GESTIÓN FORMACIÓN Y APRENDIZAJE "/>
    <s v="D23. Insuficiencia de parámetros para la articulación de información de estudiantes y docentes en los sistemas de información de la institución."/>
    <x v="0"/>
    <x v="0"/>
  </r>
  <r>
    <n v="368"/>
    <x v="0"/>
    <s v="DEBILIDAD"/>
    <s v="PROCESO GESTIÓN FORMACIÓN Y APRENDIZAJE "/>
    <s v="D24. Falta de un proceso de retroalimentación en relación con cursos virtuales de la institución"/>
    <x v="0"/>
    <x v="25"/>
  </r>
  <r>
    <n v="369"/>
    <x v="0"/>
    <s v="DEBILIDAD"/>
    <s v="PROCESO GESTIÓN FORMACIÓN Y APRENDIZAJE "/>
    <s v="D25. Falta de un proceso de retroalimentación a nivel técnico en relación con la plataforma en gestión de aprendizaje"/>
    <x v="1"/>
    <x v="37"/>
  </r>
  <r>
    <n v="370"/>
    <x v="0"/>
    <s v="DEBILIDAD"/>
    <s v="PROCESO GESTIÓN FORMACIÓN Y APRENDIZAJE "/>
    <s v="D26. Insuficiencia en la implementación de estrategias de mercadeo como campañas de promoción y divulgación"/>
    <x v="2"/>
    <x v="16"/>
  </r>
  <r>
    <n v="371"/>
    <x v="0"/>
    <s v="DEBILIDAD"/>
    <s v="PROCESO GESTIÓN FORMACIÓN Y APRENDIZAJE "/>
    <s v="D27. Falta de articulación de los procedimientos, instructivos y formatos con la normatividad interna vigente"/>
    <x v="0"/>
    <x v="30"/>
  </r>
  <r>
    <n v="372"/>
    <x v="0"/>
    <s v="DEBILIDAD"/>
    <s v="PROCESO GESTIÓN FORMACIÓN Y APRENDIZAJE "/>
    <s v="D28. No utilización de los recursos virtuales designados a los docentes"/>
    <x v="1"/>
    <x v="6"/>
  </r>
  <r>
    <n v="373"/>
    <x v="0"/>
    <s v="DEBILIDAD"/>
    <s v="PROCESO GESTIÓN FORMACIÓN Y APRENDIZAJE "/>
    <s v="D29. No utilización de los recursos virtuales producidos para las facultades"/>
    <x v="4"/>
    <x v="21"/>
  </r>
  <r>
    <n v="374"/>
    <x v="0"/>
    <s v="DEBILIDAD"/>
    <s v="PROCESO GESTIÓN FORMACIÓN Y APRENDIZAJE "/>
    <s v="D30. Falta de recursos para la inversión en el mejoramiento de la infraestructura"/>
    <x v="5"/>
    <x v="11"/>
  </r>
  <r>
    <n v="375"/>
    <x v="0"/>
    <s v="DEBILIDAD"/>
    <s v="PROCESO GESTIÓN FORMACIÓN Y APRENDIZAJE "/>
    <s v="D31. Talento humano insuficiente que cubra las necesidades de funcionamiento"/>
    <x v="1"/>
    <x v="8"/>
  </r>
  <r>
    <n v="376"/>
    <x v="0"/>
    <s v="DEBILIDAD"/>
    <s v="PROCESO GESTIÓN FORMACIÓN Y APRENDIZAJE "/>
    <s v="D32. Ausencia de un director con un perfil gerencial que asuma las funciones administrativas y venta de servicios del CAD con dedicación exclusiva"/>
    <x v="1"/>
    <x v="43"/>
  </r>
  <r>
    <n v="377"/>
    <x v="0"/>
    <s v="DEBILIDAD"/>
    <s v="PROCESO GESTIÓN FORMACIÓN Y APRENDIZAJE "/>
    <s v="D33. Vulnerabilidad del CAD frente al tema de seguridad"/>
    <x v="4"/>
    <x v="22"/>
  </r>
  <r>
    <n v="378"/>
    <x v="0"/>
    <s v="DEBILIDAD"/>
    <s v="PROCESO GESTIÓN FORMACIÓN Y APRENDIZAJE "/>
    <s v="D34. La meta financiera no corresponde con la posibilidad real de venta de servicios"/>
    <x v="2"/>
    <x v="16"/>
  </r>
  <r>
    <n v="379"/>
    <x v="0"/>
    <s v="DEBILIDAD"/>
    <s v="PROCESO GESTIÓN FORMACIÓN Y APRENDIZAJE "/>
    <s v="D35. No hay directrices administrativas y financieras definidas para el CAD"/>
    <x v="2"/>
    <x v="4"/>
  </r>
  <r>
    <n v="380"/>
    <x v="0"/>
    <s v="DEBILIDAD"/>
    <s v="PROCESO GESTIÓN FORMACIÓN Y APRENDIZAJE "/>
    <s v="D36. Carencia de un diagnostico real de las instalaciones de acueducto, alcantarillado y energía"/>
    <x v="4"/>
    <x v="9"/>
  </r>
  <r>
    <n v="381"/>
    <x v="0"/>
    <s v="DEBILIDAD"/>
    <s v="PROCESO GESTIÓN FORMACIÓN Y APRENDIZAJE "/>
    <s v="D37. No contar con la disponibilidad permanente de los escenarios para la venta de servicios"/>
    <x v="2"/>
    <x v="34"/>
  </r>
  <r>
    <n v="382"/>
    <x v="0"/>
    <s v="DEBILIDAD"/>
    <s v="PROCESO GESTIÓN FORMACIÓN Y APRENDIZAJE "/>
    <s v="D38. Daños materiales en los escenarios"/>
    <x v="4"/>
    <x v="9"/>
  </r>
  <r>
    <n v="383"/>
    <x v="0"/>
    <s v="DEBILIDAD"/>
    <s v="PROCESO GESTIÓN FORMACIÓN Y APRENDIZAJE "/>
    <s v="D39. No contar con un representante de postgrados en los diferentes comités y cuerpo colegiados"/>
    <x v="1"/>
    <x v="31"/>
  </r>
  <r>
    <n v="384"/>
    <x v="1"/>
    <s v="DEBILIDAD"/>
    <s v="PROCESO GESTIÓN FORMACIÓN Y APRENDIZAJE "/>
    <s v="D1. Insuficiente recurso financiero para la vinculación de talento humano para la gestión de los procesos"/>
    <x v="5"/>
    <x v="11"/>
  </r>
  <r>
    <n v="385"/>
    <x v="1"/>
    <s v="DEBILIDAD"/>
    <s v="PROCESO GESTIÓN FORMACIÓN Y APRENDIZAJE "/>
    <s v="D2. Insuficiente seguimiento al proceso de evaluación de desempeño docente"/>
    <x v="3"/>
    <x v="5"/>
  </r>
  <r>
    <n v="386"/>
    <x v="1"/>
    <s v="DEBILIDAD"/>
    <s v="PROCESO GESTIÓN FORMACIÓN Y APRENDIZAJE "/>
    <s v="D3. Reducir índices de repitencia y de graduación tardía"/>
    <x v="2"/>
    <x v="4"/>
  </r>
  <r>
    <n v="387"/>
    <x v="1"/>
    <s v="DEBILIDAD"/>
    <s v="PROCESO GESTIÓN FORMACIÓN Y APRENDIZAJE "/>
    <s v="D4. El número de profesores de planta incide en los procesos de registro calificado y acreditación de alta calidad"/>
    <x v="1"/>
    <x v="8"/>
  </r>
  <r>
    <n v="388"/>
    <x v="1"/>
    <s v="DEBILIDAD"/>
    <s v="PROCESO GESTIÓN FORMACIÓN Y APRENDIZAJE "/>
    <s v="D5. Falta de articulación entre los programas de pregrado y postgrado en procesos académicos"/>
    <x v="0"/>
    <x v="0"/>
  </r>
  <r>
    <n v="389"/>
    <x v="1"/>
    <s v="DEBILIDAD"/>
    <s v="PROCESO GESTIÓN FORMACIÓN Y APRENDIZAJE "/>
    <s v="D6. Insuficiente apoyo institucional para los planes de mejoramiento derivados de los ejercicios de autoevaluación"/>
    <x v="1"/>
    <x v="6"/>
  </r>
  <r>
    <n v="390"/>
    <x v="1"/>
    <s v="DEBILIDAD"/>
    <s v="PROCESO GESTIÓN FORMACIÓN Y APRENDIZAJE "/>
    <s v="D7. Currículos y planes de estudio que requieren actualización."/>
    <x v="0"/>
    <x v="30"/>
  </r>
  <r>
    <n v="392"/>
    <x v="1"/>
    <s v="DEBILIDAD"/>
    <s v="PROCESO GESTIÓN FORMACIÓN Y APRENDIZAJE "/>
    <s v="D8. Baja protección, disponibilidad, custodia e integridad de la información física y digital en las áreas que conforman el proceso de Formación y Aprendizaje"/>
    <x v="0"/>
    <x v="19"/>
  </r>
  <r>
    <n v="393"/>
    <x v="1"/>
    <s v="DEBILIDAD"/>
    <s v="PROCESO GESTIÓN FORMACIÓN Y APRENDIZAJE "/>
    <s v="D9. Insuficiencia de parámetros para la articulación de información de estudiantes y docentes en los sistemas de información de la institución."/>
    <x v="0"/>
    <x v="0"/>
  </r>
  <r>
    <n v="394"/>
    <x v="1"/>
    <s v="DEBILIDAD"/>
    <s v="PROCESO GESTIÓN FORMACIÓN Y APRENDIZAJE "/>
    <s v="D10. Falta de articulación de los procedimientos, instructivos y formatos con la normatividad interna vigente"/>
    <x v="0"/>
    <x v="30"/>
  </r>
  <r>
    <n v="395"/>
    <x v="1"/>
    <s v="DEBILIDAD"/>
    <s v="PROCESO GESTIÓN FORMACIÓN Y APRENDIZAJE "/>
    <s v="D11. Sistematización inoportuna de la información en las horas aprobadas del componente CTI para los docentes."/>
    <x v="0"/>
    <x v="39"/>
  </r>
  <r>
    <n v="396"/>
    <x v="1"/>
    <s v="DEBILIDAD"/>
    <s v="PROCESO GESTIÓN FORMACIÓN Y APRENDIZAJE "/>
    <s v="D12. Insuficiente seguimiento para el aseguramiento de los resultados de aprendizaje"/>
    <x v="0"/>
    <x v="24"/>
  </r>
  <r>
    <n v="398"/>
    <x v="1"/>
    <s v="DEBILIDAD"/>
    <s v="PROCESO GESTIÓN FORMACIÓN Y APRENDIZAJE "/>
    <s v="D13. Bajos ingresos por  concepto de matriculas en los programas de especialización y maestrías (Descuentos aplicados, decrecimiento en el número de estudiantes y número mínimo de estudiantes para cumplir el punto de equilibrio)"/>
    <x v="5"/>
    <x v="11"/>
  </r>
  <r>
    <n v="400"/>
    <x v="1"/>
    <s v="DEBILIDAD"/>
    <s v="PROCESO GESTIÓN FORMACIÓN Y APRENDIZAJE "/>
    <s v="D14. El director del Instituto de Posgrados no puede ser elegido en Consejo Académico ni Consejo Superior _x000a_"/>
    <x v="1"/>
    <x v="35"/>
  </r>
  <r>
    <n v="401"/>
    <x v="1"/>
    <s v="DEBILIDAD"/>
    <s v="PROCESO GESTIÓN FORMACIÓN Y APRENDIZAJE "/>
    <s v="D15. La opción de grado de titulo de especialización o semestre avanzado en postgrados sin continuidad ni culminación del programa."/>
    <x v="0"/>
    <x v="25"/>
  </r>
  <r>
    <n v="402"/>
    <x v="1"/>
    <s v="DEBILIDAD"/>
    <s v="PROCESO GESTIÓN FORMACIÓN Y APRENDIZAJE "/>
    <s v="D16. Falta de una política institucional para ofrecer descuentos en matriculas de los programas de posgrados y propuestas de educación continuada mediante convenios"/>
    <x v="2"/>
    <x v="4"/>
  </r>
  <r>
    <n v="403"/>
    <x v="1"/>
    <s v="DEBILIDAD"/>
    <s v="PROCESO GESTIÓN FORMACIÓN Y APRENDIZAJE "/>
    <s v="D17. Los canales de pago virtuales para los programas de posgrado son limitados y carecen de agilidad en el proceso para el estudiante"/>
    <x v="4"/>
    <x v="21"/>
  </r>
  <r>
    <n v="404"/>
    <x v="1"/>
    <s v="DEBILIDAD"/>
    <s v="PROCESO GESTIÓN FORMACIÓN Y APRENDIZAJE "/>
    <s v="D18. Desconocimiento de la comunidad en general y la comunidad universitaria de los programas posgraduales."/>
    <x v="0"/>
    <x v="12"/>
  </r>
  <r>
    <n v="406"/>
    <x v="1"/>
    <s v="DEBILIDAD"/>
    <s v="PROCESO GESTIÓN FORMACIÓN Y APRENDIZAJE "/>
    <s v="D19. Deficiencias en los procesos de evaluación a docentes a causa de los tiempos de vinculación en la plataforma por el tipo de contratación (Posgrados)"/>
    <x v="0"/>
    <x v="1"/>
  </r>
  <r>
    <n v="407"/>
    <x v="1"/>
    <s v="DEBILIDAD"/>
    <s v="PROCESO GESTIÓN FORMACIÓN Y APRENDIZAJE "/>
    <s v="D20. Las asignaciones salariales no son competitivas ni atractivas en el mercado laboral especializado (Posgrados)"/>
    <x v="1"/>
    <x v="35"/>
  </r>
  <r>
    <n v="408"/>
    <x v="1"/>
    <s v="DEBILIDAD"/>
    <s v="PROCESO GESTIÓN FORMACIÓN Y APRENDIZAJE "/>
    <s v="D21.Condiciones de contratación en el medio teniendo en cuenta la naturaleza del programa"/>
    <x v="1"/>
    <x v="35"/>
  </r>
  <r>
    <n v="409"/>
    <x v="1"/>
    <s v="DEBILIDAD"/>
    <s v="PROCESO GESTIÓN FORMACIÓN Y APRENDIZAJE "/>
    <s v="D22.Jornadas de capacitación institucional extensas y sin replicas lo cual dificulta la participación de los docentes"/>
    <x v="1"/>
    <x v="18"/>
  </r>
  <r>
    <n v="410"/>
    <x v="1"/>
    <s v="DEBILIDAD"/>
    <s v="PROCESO GESTIÓN FORMACIÓN Y APRENDIZAJE "/>
    <s v="D23. Entrega de información incompleta y fuera de los tiempos establecidos para la creación de cursos virtuales"/>
    <x v="0"/>
    <x v="19"/>
  </r>
  <r>
    <n v="411"/>
    <x v="1"/>
    <s v="DEBILIDAD"/>
    <s v="PROCESO GESTIÓN FORMACIÓN Y APRENDIZAJE "/>
    <s v="D24. Falta de estrategias para el almacenamiento de los contenidos desarrollados en los cursos y aulas virtuales"/>
    <x v="2"/>
    <x v="16"/>
  </r>
  <r>
    <n v="413"/>
    <x v="1"/>
    <s v="DEBILIDAD"/>
    <s v="PROCESO GESTIÓN FORMACIÓN Y APRENDIZAJE "/>
    <s v="D25. Retrasos en la entrega de los cursos, aulas virtuales, CAI o CADIS a los programas académicos"/>
    <x v="0"/>
    <x v="1"/>
  </r>
  <r>
    <n v="414"/>
    <x v="1"/>
    <s v="DEBILIDAD"/>
    <s v="PROCESO GESTIÓN FORMACIÓN Y APRENDIZAJE "/>
    <s v="D26. Equipos inadecuados para la operación de las diferentes dependencias del proceso de Formación y Aprendizaje"/>
    <x v="4"/>
    <x v="10"/>
  </r>
  <r>
    <n v="415"/>
    <x v="1"/>
    <s v="DEBILIDAD"/>
    <s v="PROCESO GESTIÓN FORMACIÓN Y APRENDIZAJE "/>
    <s v="D27. Falta de socialización sobre las estrategias de inclusión en la producción de contenido y la atención que se brinda a las partes interesadas del proceso de Formación y Aprendizaje"/>
    <x v="0"/>
    <x v="12"/>
  </r>
  <r>
    <n v="416"/>
    <x v="1"/>
    <s v="DEBILIDAD"/>
    <s v="PROCESO GESTIÓN FORMACIÓN Y APRENDIZAJE "/>
    <s v="D28. Falta de un proceso de retroalimentación a nivel técnico en relación con la plataforma en gestión de aprendizaje"/>
    <x v="0"/>
    <x v="25"/>
  </r>
  <r>
    <n v="417"/>
    <x v="1"/>
    <s v="DEBILIDAD"/>
    <s v="PROCESO GESTIÓN FORMACIÓN Y APRENDIZAJE "/>
    <s v="D29. No utilización de los recursos virtuales designados a los profesores"/>
    <x v="1"/>
    <x v="6"/>
  </r>
  <r>
    <n v="418"/>
    <x v="1"/>
    <s v="DEBILIDAD"/>
    <s v="PROCESO GESTIÓN FORMACIÓN Y APRENDIZAJE "/>
    <s v="D30. No utilización de los recursos virtuales producidos para las facultades"/>
    <x v="4"/>
    <x v="21"/>
  </r>
  <r>
    <n v="419"/>
    <x v="1"/>
    <s v="DEBILIDAD"/>
    <s v="PROCESO GESTIÓN FORMACIÓN Y APRENDIZAJE "/>
    <s v="D31. Insuficiencia en la implementación de estrategias de mercadeo como campañas de promoción y divulgación"/>
    <x v="2"/>
    <x v="16"/>
  </r>
  <r>
    <n v="420"/>
    <x v="1"/>
    <s v="DEBILIDAD"/>
    <s v="PROCESO GESTIÓN FORMACIÓN Y APRENDIZAJE "/>
    <s v="D32. Falta de apropiación del Modelo Educativo Digital Transmoderno - MEDIT por parte de los profesores y del equipo de trabajo de la Oficina de Educación Virtual y a Distancia"/>
    <x v="1"/>
    <x v="6"/>
  </r>
  <r>
    <n v="421"/>
    <x v="1"/>
    <s v="DEBILIDAD"/>
    <s v="PROCESO GESTIÓN FORMACIÓN Y APRENDIZAJE "/>
    <s v="D33. Reprocesos por la rotación de personal en perfiles específicos (Oficina de Educación Virtual y a Distancia)"/>
    <x v="1"/>
    <x v="15"/>
  </r>
  <r>
    <n v="422"/>
    <x v="1"/>
    <s v="DEBILIDAD"/>
    <s v="PROCESO GESTIÓN FORMACIÓN Y APRENDIZAJE "/>
    <s v="D34. Falta de recursos para la inversión en el mejoramiento de la infraestructura"/>
    <x v="5"/>
    <x v="11"/>
  </r>
  <r>
    <n v="423"/>
    <x v="1"/>
    <s v="DEBILIDAD"/>
    <s v="PROCESO GESTIÓN FORMACIÓN Y APRENDIZAJE "/>
    <s v="D35. Talento humano insuficiente que cubra las necesidades de funcionamiento"/>
    <x v="1"/>
    <x v="8"/>
  </r>
  <r>
    <n v="424"/>
    <x v="1"/>
    <s v="DEBILIDAD"/>
    <s v="PROCESO GESTIÓN FORMACIÓN Y APRENDIZAJE "/>
    <s v="D36. Ausencia de un director con un perfil gerencial que asuma las funciones administrativas y venta de servicios del CAD con dedicación exclusiva"/>
    <x v="1"/>
    <x v="43"/>
  </r>
  <r>
    <n v="426"/>
    <x v="1"/>
    <s v="DEBILIDAD"/>
    <s v="PROCESO GESTIÓN FORMACIÓN Y APRENDIZAJE "/>
    <s v="D37. Vulnerabilidad del CAD frente al tema de seguridad"/>
    <x v="4"/>
    <x v="22"/>
  </r>
  <r>
    <n v="427"/>
    <x v="1"/>
    <s v="DEBILIDAD"/>
    <s v="PROCESO GESTIÓN FORMACIÓN Y APRENDIZAJE "/>
    <s v="D38. La meta financiera no corresponde con la posibilidad real de venta de servicios"/>
    <x v="2"/>
    <x v="16"/>
  </r>
  <r>
    <n v="429"/>
    <x v="1"/>
    <s v="DEBILIDAD"/>
    <s v="PROCESO GESTIÓN FORMACIÓN Y APRENDIZAJE "/>
    <s v="D39. No hay directrices administrativas y financieras definidas para el CAD"/>
    <x v="2"/>
    <x v="4"/>
  </r>
  <r>
    <n v="430"/>
    <x v="1"/>
    <s v="DEBILIDAD"/>
    <s v="PROCESO GESTIÓN FORMACIÓN Y APRENDIZAJE "/>
    <s v="D40. Carencia de un diagnostico real de las instalaciones de acueducto, alcantarillado y energía"/>
    <x v="4"/>
    <x v="9"/>
  </r>
  <r>
    <n v="431"/>
    <x v="1"/>
    <s v="DEBILIDAD"/>
    <s v="PROCESO GESTIÓN FORMACIÓN Y APRENDIZAJE "/>
    <s v="D41. Daños materiales en los escenarios"/>
    <x v="4"/>
    <x v="9"/>
  </r>
  <r>
    <n v="432"/>
    <x v="0"/>
    <s v="DEBILIDAD"/>
    <s v="PROCESO GESTIÓN INTERACCIÓN UNIVERSITARIA"/>
    <s v="D1. Funciones asignadas mas no documentadas."/>
    <x v="0"/>
    <x v="25"/>
  </r>
  <r>
    <n v="433"/>
    <x v="0"/>
    <s v="DEBILIDAD"/>
    <s v="PROCESO GESTIÓN INTERACCIÓN UNIVERSITARIA"/>
    <s v="D2. Falta fortalecer aspectos relacionados al cumplimiento de las politicas misionales "/>
    <x v="2"/>
    <x v="4"/>
  </r>
  <r>
    <n v="434"/>
    <x v="0"/>
    <s v="DEBILIDAD"/>
    <s v="PROCESO GESTIÓN INTERACCIÓN UNIVERSITARIA"/>
    <s v="D3. Dificultad en la comunicación y visibilidad con seccionales y extensiones."/>
    <x v="0"/>
    <x v="12"/>
  </r>
  <r>
    <n v="435"/>
    <x v="0"/>
    <s v="DEBILIDAD"/>
    <s v="PROCESO GESTIÓN INTERACCIÓN UNIVERSITARIA"/>
    <s v="D4. Falta de articulación con todos los Procesos que pueda llevar al no cumplimiento oportuno de las actividades"/>
    <x v="0"/>
    <x v="0"/>
  </r>
  <r>
    <n v="436"/>
    <x v="0"/>
    <s v="DEBILIDAD"/>
    <s v="PROCESO GESTIÓN INTERACCIÓN UNIVERSITARIA"/>
    <s v="D5.  El proceso aún no está sistematizado."/>
    <x v="0"/>
    <x v="39"/>
  </r>
  <r>
    <n v="437"/>
    <x v="0"/>
    <s v="DEBILIDAD"/>
    <s v="PROCESO GESTIÓN INTERACCIÓN UNIVERSITARIA"/>
    <s v="D6. Falta de actualización del portafolio de cursos y diplomados"/>
    <x v="0"/>
    <x v="30"/>
  </r>
  <r>
    <n v="438"/>
    <x v="1"/>
    <s v="DEBILIDAD"/>
    <s v="PROCESO GESTIÓN INTERACCIÓN UNIVERSITARIA"/>
    <s v="D1. Funciones asignadas mas no documentadas."/>
    <x v="0"/>
    <x v="25"/>
  </r>
  <r>
    <n v="439"/>
    <x v="1"/>
    <s v="DEBILIDAD"/>
    <s v="PROCESO GESTIÓN INTERACCIÓN UNIVERSITARIA"/>
    <s v="D2. Falta fortalecer aspectos relacionados al cumplimiento de las politicas misionales "/>
    <x v="2"/>
    <x v="4"/>
  </r>
  <r>
    <n v="440"/>
    <x v="1"/>
    <s v="DEBILIDAD"/>
    <s v="PROCESO GESTIÓN INTERACCIÓN UNIVERSITARIA"/>
    <s v="D3. Dificultad en la comunicación y visibilidad con seccionales y extensiones."/>
    <x v="0"/>
    <x v="12"/>
  </r>
  <r>
    <n v="441"/>
    <x v="1"/>
    <s v="DEBILIDAD"/>
    <s v="PROCESO GESTIÓN INTERACCIÓN UNIVERSITARIA"/>
    <s v="D4. Falta de articulación con todos los Procesos que pueda llevar al no cumplimiento oportuno de las actividades"/>
    <x v="0"/>
    <x v="0"/>
  </r>
  <r>
    <n v="442"/>
    <x v="1"/>
    <s v="DEBILIDAD"/>
    <s v="PROCESO GESTIÓN INTERACCIÓN UNIVERSITARIA"/>
    <s v="D5. Falta de sistematización de los procedimientos y trámites de la Dirección de ISU"/>
    <x v="0"/>
    <x v="39"/>
  </r>
  <r>
    <n v="443"/>
    <x v="1"/>
    <s v="DEBILIDAD"/>
    <s v="PROCESO GESTIÓN INTERACCIÓN UNIVERSITARIA"/>
    <s v="D6. Falta asegurar el análisis y evaluación de los resultados generados por el seguimiento y medición de los indicadores establecidos para el proceso"/>
    <x v="0"/>
    <x v="30"/>
  </r>
  <r>
    <n v="444"/>
    <x v="1"/>
    <s v="DEBILIDAD"/>
    <s v="PROCESO GESTIÓN INTERACCIÓN UNIVERSITARIA"/>
    <s v="D7. Desactualización de los equipos tecnológicos y software de los mismos lo cual dificulta la eficaz ejecución de los procesos"/>
    <x v="4"/>
    <x v="21"/>
  </r>
  <r>
    <n v="445"/>
    <x v="1"/>
    <s v="DEBILIDAD"/>
    <s v="PROCESO GESTIÓN INTERACCIÓN UNIVERSITARIA"/>
    <s v="D8. No apropiación de la documentación actualizada desde los procesos establecidos en el Sistemas de Gestión de la Calidad"/>
    <x v="1"/>
    <x v="6"/>
  </r>
  <r>
    <n v="446"/>
    <x v="0"/>
    <s v="DEBILIDAD"/>
    <s v="PROCESO GESTIÓN JURÍDICA"/>
    <s v="D1. Alta Rotación de Personal."/>
    <x v="1"/>
    <x v="15"/>
  </r>
  <r>
    <n v="447"/>
    <x v="0"/>
    <s v="DEBILIDAD"/>
    <s v="PROCESO GESTIÓN JURÍDICA"/>
    <s v="D2. Falta de articulación con todos los Procesos."/>
    <x v="0"/>
    <x v="0"/>
  </r>
  <r>
    <n v="448"/>
    <x v="0"/>
    <s v="DEBILIDAD"/>
    <s v="PROCESO GESTIÓN JURÍDICA"/>
    <s v="D3. Falta de asignación de actividades. "/>
    <x v="1"/>
    <x v="43"/>
  </r>
  <r>
    <n v="449"/>
    <x v="0"/>
    <s v="DEBILIDAD"/>
    <s v="PROCESO GESTIÓN JURÍDICA"/>
    <s v="D4. Se presentan reprocesos por el no acatamiento de los tiempos de operación por otras partes interesadas que solicitan apoyo a la dirección Jurídica."/>
    <x v="0"/>
    <x v="1"/>
  </r>
  <r>
    <n v="450"/>
    <x v="0"/>
    <s v="DEBILIDAD"/>
    <s v="PROCESO GESTIÓN JURÍDICA"/>
    <s v="D5. El no cumplimiento de los procesos o que estos no brinden soluciones agiles."/>
    <x v="0"/>
    <x v="25"/>
  </r>
  <r>
    <n v="451"/>
    <x v="0"/>
    <s v="DEBILIDAD"/>
    <s v="PROCESO GESTIÓN JURÍDICA"/>
    <s v="D6. El proceso no cuenta con estrategias que garanticen el fortalecimiento de las relaciones humanas  de cara con el ambiente laboral"/>
    <x v="2"/>
    <x v="16"/>
  </r>
  <r>
    <n v="452"/>
    <x v="0"/>
    <s v="DEBILIDAD"/>
    <s v="PROCESO GESTIÓN JURÍDICA"/>
    <s v="D7. Escases de sistemas de información, pues no están cubiertos los procesos judiciales y extrajudiciales."/>
    <x v="4"/>
    <x v="21"/>
  </r>
  <r>
    <n v="453"/>
    <x v="0"/>
    <s v="DEBILIDAD"/>
    <s v="PROCESO GESTIÓN JURÍDICA"/>
    <s v="D8. Falta un adecuado control de la información en el proceso"/>
    <x v="0"/>
    <x v="19"/>
  </r>
  <r>
    <n v="454"/>
    <x v="0"/>
    <s v="DEBILIDAD"/>
    <s v="PROCESO GESTIÓN JURÍDICA"/>
    <s v="D9. Falta asegurar la gestión del conocimiento en el proceso. "/>
    <x v="1"/>
    <x v="2"/>
  </r>
  <r>
    <n v="455"/>
    <x v="0"/>
    <s v="DEBILIDAD"/>
    <s v="PROCESO GESTIÓN JURÍDICA"/>
    <s v="D10. No hay un plan de capacitación para los contratistas en temas generales, específicos de cargo y en tema de inclusión."/>
    <x v="1"/>
    <x v="37"/>
  </r>
  <r>
    <n v="456"/>
    <x v="1"/>
    <s v="DEBILIDAD"/>
    <s v="PROCESO GESTIÓN JURÍDICA"/>
    <s v="D1. Alta Rotación de Personal."/>
    <x v="1"/>
    <x v="15"/>
  </r>
  <r>
    <n v="457"/>
    <x v="1"/>
    <s v="DEBILIDAD"/>
    <s v="PROCESO GESTIÓN JURÍDICA"/>
    <s v="D2. Falta de articulación con todos los Procesos."/>
    <x v="0"/>
    <x v="0"/>
  </r>
  <r>
    <n v="459"/>
    <x v="1"/>
    <s v="DEBILIDAD"/>
    <s v="PROCESO GESTIÓN JURÍDICA"/>
    <s v="D3. Se presentan reprocesos por el no acatamiento de los tiempos de operación por otras partes interesadas que solicitan apoyo a la dirección Jurídica."/>
    <x v="0"/>
    <x v="1"/>
  </r>
  <r>
    <n v="460"/>
    <x v="1"/>
    <s v="DEBILIDAD"/>
    <s v="PROCESO GESTIÓN JURÍDICA"/>
    <s v="D4. El no cumplimiento de los lineamientos jurídicos y legales internos y externos o que estos no brinden soluciones agiles."/>
    <x v="0"/>
    <x v="25"/>
  </r>
  <r>
    <n v="462"/>
    <x v="1"/>
    <s v="DEBILIDAD"/>
    <s v="PROCESO GESTIÓN JURÍDICA"/>
    <s v="D5. Escases de sistemas de información, pues no están cubiertos los procesos judiciales y extrajudiciales."/>
    <x v="4"/>
    <x v="21"/>
  </r>
  <r>
    <n v="463"/>
    <x v="1"/>
    <s v="DEBILIDAD"/>
    <s v="PROCESO GESTIÓN JURÍDICA"/>
    <s v="D6. Falta un adecuado control de la información que no esta sistematizada en el proceso"/>
    <x v="0"/>
    <x v="19"/>
  </r>
  <r>
    <n v="464"/>
    <x v="1"/>
    <s v="DEBILIDAD"/>
    <s v="PROCESO GESTIÓN JURÍDICA"/>
    <s v="D7. Falta asegurar la gestión del conocimiento en el proceso. "/>
    <x v="1"/>
    <x v="2"/>
  </r>
  <r>
    <n v="466"/>
    <x v="1"/>
    <s v="DEBILIDAD"/>
    <s v="PROCESO GESTIÓN JURÍDICA"/>
    <s v="D8. Alta carga operativa al interior del proceso, específicamente en requerimientos que no son competencia de jurídica"/>
    <x v="1"/>
    <x v="8"/>
  </r>
  <r>
    <n v="467"/>
    <x v="1"/>
    <s v="DEBILIDAD"/>
    <s v="PROCESO GESTIÓN JURÍDICA"/>
    <s v="D9. Desconocimiento de los procesos en el uso de integradoc de los trámites que actualmente maneja la Dirección Jurídica"/>
    <x v="0"/>
    <x v="12"/>
  </r>
  <r>
    <n v="468"/>
    <x v="0"/>
    <s v="DEBILIDAD"/>
    <s v="PROCESO GESTIÓN PLANEACIÓN INSTITUCIONAL"/>
    <s v="D1. Dificultades para la obtención de información veraz, actualizada y confiable"/>
    <x v="0"/>
    <x v="19"/>
  </r>
  <r>
    <n v="469"/>
    <x v="0"/>
    <s v="DEBILIDAD"/>
    <s v="PROCESO GESTIÓN PLANEACIÓN INSTITUCIONAL"/>
    <s v="D2. Falta de Articulación con la Planeación Académica y políticas misionales que se desarrollan en la Institución"/>
    <x v="0"/>
    <x v="0"/>
  </r>
  <r>
    <n v="470"/>
    <x v="0"/>
    <s v="DEBILIDAD"/>
    <s v="PROCESO GESTIÓN PLANEACIÓN INSTITUCIONAL"/>
    <s v="D3. No hay suficiente capacidad instalada para atender las necesidades de la Universidad"/>
    <x v="4"/>
    <x v="9"/>
  </r>
  <r>
    <n v="471"/>
    <x v="0"/>
    <s v="DEBILIDAD"/>
    <s v="PROCESO GESTIÓN PLANEACIÓN INSTITUCIONAL"/>
    <s v="D4. Retrasos en la Información solicitada a los procesos."/>
    <x v="0"/>
    <x v="1"/>
  </r>
  <r>
    <n v="472"/>
    <x v="0"/>
    <s v="DEBILIDAD"/>
    <s v="PROCESO GESTIÓN PLANEACIÓN INSTITUCIONAL"/>
    <s v="D5. Falta de actualización de la documentación del proceso con el fin de abordar los lineamientos de la Política de Inclusión"/>
    <x v="0"/>
    <x v="30"/>
  </r>
  <r>
    <n v="473"/>
    <x v="0"/>
    <s v="DEBILIDAD"/>
    <s v="PROCESO GESTIÓN PLANEACIÓN INSTITUCIONAL"/>
    <s v="D6. No contar con la información necesaria como elemento de entrada para la Revisión por la Dirección"/>
    <x v="0"/>
    <x v="19"/>
  </r>
  <r>
    <n v="474"/>
    <x v="0"/>
    <s v="DEBILIDAD"/>
    <s v="PROCESO GESTIÓN PLANEACIÓN INSTITUCIONAL"/>
    <s v="D6. Las modalidades de Contratación con las que cuenta el proceso, impiden que se realicen procesos de capacitación e inducción a los funcionarios para el desarrollo sus competencias laborales."/>
    <x v="0"/>
    <x v="25"/>
  </r>
  <r>
    <n v="475"/>
    <x v="0"/>
    <s v="DEBILIDAD"/>
    <s v="PROCESO GESTIÓN PLANEACIÓN INSTITUCIONAL"/>
    <s v="D7. Falta de herramientas que permitan asegurar la confiabilidad de los datos"/>
    <x v="4"/>
    <x v="21"/>
  </r>
  <r>
    <n v="476"/>
    <x v="0"/>
    <s v="DEBILIDAD"/>
    <s v="PROCESO GESTIÓN PLANEACIÓN INSTITUCIONAL"/>
    <s v="D8. Falta de cumplimiento en algunos Lineamientos de acreditación de programas e institucional."/>
    <x v="1"/>
    <x v="6"/>
  </r>
  <r>
    <n v="477"/>
    <x v="0"/>
    <s v="DEBILIDAD"/>
    <s v="PROCESO GESTIÓN PLANEACIÓN INSTITUCIONAL"/>
    <s v="D9. Estructura y lineamientos de los Sistemas de Gestión no se encuentran articulados."/>
    <x v="0"/>
    <x v="0"/>
  </r>
  <r>
    <n v="478"/>
    <x v="1"/>
    <s v="DEBILIDAD"/>
    <s v="PROCESO GESTIÓN PLANEACIÓN INSTITUCIONAL"/>
    <s v="D1. Dificultades para la obtención de información veraz, actualizada y confiable"/>
    <x v="0"/>
    <x v="19"/>
  </r>
  <r>
    <n v="479"/>
    <x v="1"/>
    <s v="DEBILIDAD"/>
    <s v="PROCESO GESTIÓN PLANEACIÓN INSTITUCIONAL"/>
    <s v="D2. Falta de Articulación con la Planeación Académica y políticas misionales que se desarrollan en la Institución"/>
    <x v="0"/>
    <x v="0"/>
  </r>
  <r>
    <n v="480"/>
    <x v="1"/>
    <s v="DEBILIDAD"/>
    <s v="PROCESO GESTIÓN PLANEACIÓN INSTITUCIONAL"/>
    <s v="D3. No hay suficiente capacidad instalada para atender las necesidades de la Universidad"/>
    <x v="4"/>
    <x v="9"/>
  </r>
  <r>
    <n v="481"/>
    <x v="1"/>
    <s v="DEBILIDAD"/>
    <s v="PROCESO GESTIÓN PLANEACIÓN INSTITUCIONAL"/>
    <s v="D4. Retrasos en la Información solicitada a los procesos."/>
    <x v="0"/>
    <x v="1"/>
  </r>
  <r>
    <n v="482"/>
    <x v="1"/>
    <s v="DEBILIDAD"/>
    <s v="PROCESO GESTIÓN PLANEACIÓN INSTITUCIONAL"/>
    <s v="D5. Falta de actualización de la documentación del proceso con el fin de abordar los lineamientos de la Política de Inclusión"/>
    <x v="0"/>
    <x v="30"/>
  </r>
  <r>
    <n v="483"/>
    <x v="1"/>
    <s v="DEBILIDAD"/>
    <s v="PROCESO GESTIÓN PLANEACIÓN INSTITUCIONAL"/>
    <s v="D6. No contar con la información necesaria como elemento de entrada para la Revisión por la Dirección"/>
    <x v="0"/>
    <x v="19"/>
  </r>
  <r>
    <n v="485"/>
    <x v="1"/>
    <s v="DEBILIDAD"/>
    <s v="PROCESO GESTIÓN PLANEACIÓN INSTITUCIONAL"/>
    <s v="D6. Falta de herramientas que permitan asegurar la confiabilidad de los datos"/>
    <x v="4"/>
    <x v="21"/>
  </r>
  <r>
    <n v="486"/>
    <x v="1"/>
    <s v="DEBILIDAD"/>
    <s v="PROCESO GESTIÓN PLANEACIÓN INSTITUCIONAL"/>
    <s v="D7. Falta de cumplimiento en algunos Lineamientos de acreditación de programas e institucional."/>
    <x v="1"/>
    <x v="6"/>
  </r>
  <r>
    <n v="487"/>
    <x v="1"/>
    <s v="DEBILIDAD"/>
    <s v="PROCESO GESTIÓN PLANEACIÓN INSTITUCIONAL"/>
    <s v="D8. Estructura y lineamientos de los Sistemas de Gestión no se encuentran articulados."/>
    <x v="0"/>
    <x v="0"/>
  </r>
  <r>
    <n v="488"/>
    <x v="0"/>
    <s v="DEBILIDAD"/>
    <s v="PROCESO GESTIÓN SERVICIO DE ATENCIÓN AL CIUDADANO"/>
    <s v="D2. Se presenta alta rotación de los funcionarios en la institución"/>
    <x v="1"/>
    <x v="15"/>
  </r>
  <r>
    <n v="489"/>
    <x v="0"/>
    <s v="DEBILIDAD"/>
    <s v="PROCESO GESTIÓN SERVICIO DE ATENCIÓN AL CIUDADANO"/>
    <s v="D3. Instalaciones Locativas insuficientes en seccionales y extensiones"/>
    <x v="4"/>
    <x v="9"/>
  </r>
  <r>
    <n v="490"/>
    <x v="0"/>
    <s v="DEBILIDAD"/>
    <s v="PROCESO GESTIÓN SERVICIO DE ATENCIÓN AL CIUDADANO"/>
    <s v="D4. Falta de claridad en las respuestas dadas por los procesos competentes"/>
    <x v="0"/>
    <x v="12"/>
  </r>
  <r>
    <n v="491"/>
    <x v="0"/>
    <s v="DEBILIDAD"/>
    <s v="PROCESO GESTIÓN SERVICIO DE ATENCIÓN AL CIUDADANO"/>
    <s v="D5. El modelo y los tiempos de contratación de la universidad son demorados"/>
    <x v="0"/>
    <x v="1"/>
  </r>
  <r>
    <n v="492"/>
    <x v="0"/>
    <s v="DEBILIDAD"/>
    <s v="PROCESO GESTIÓN SERVICIO DE ATENCIÓN AL CIUDADANO"/>
    <s v="D6. Dependencia de los usuarios al clasificar la solicitud."/>
    <x v="0"/>
    <x v="19"/>
  </r>
  <r>
    <n v="493"/>
    <x v="0"/>
    <s v="DEBILIDAD"/>
    <s v="PROCESO GESTIÓN SERVICIO DE ATENCIÓN AL CIUDADANO"/>
    <s v="D7. Dependencia de otros procesos para tomar acciones frente a las PQRS impuestas a la Universidad de Cundinamarca"/>
    <x v="0"/>
    <x v="0"/>
  </r>
  <r>
    <n v="494"/>
    <x v="0"/>
    <s v="DEBILIDAD"/>
    <s v="PROCESO GESTIÓN SERVICIO DE ATENCIÓN AL CIUDADANO"/>
    <s v="D8. Falta de toma de conciencia y conocimiento en la responsabilidad cuando se da respuesta a las PQRS"/>
    <x v="1"/>
    <x v="6"/>
  </r>
  <r>
    <n v="495"/>
    <x v="0"/>
    <s v="DEBILIDAD"/>
    <s v="PROCESO GESTIÓN SERVICIO DE ATENCIÓN AL CIUDADANO"/>
    <s v="D9.Falta de adaptabilidad del aplicativo de PQRSFYD para la población con discapacidad."/>
    <x v="4"/>
    <x v="21"/>
  </r>
  <r>
    <n v="496"/>
    <x v="0"/>
    <s v="DEBILIDAD"/>
    <s v="PROCESO GESTIÓN SERVICIO DE ATENCIÓN AL CIUDADANO"/>
    <s v="D10. Personal insuficiente para el desarrollo de las actividades del proceso."/>
    <x v="1"/>
    <x v="8"/>
  </r>
  <r>
    <n v="497"/>
    <x v="0"/>
    <s v="DEBILIDAD"/>
    <s v="PROCESO GESTIÓN SERVICIO DE ATENCIÓN AL CIUDADANO"/>
    <s v="D11. El sistema no permite reclasificar las peticiones "/>
    <x v="4"/>
    <x v="21"/>
  </r>
  <r>
    <n v="498"/>
    <x v="1"/>
    <s v="DEBILIDAD"/>
    <s v="PROCESO GESTIÓN SERVICIO DE ATENCIÓN AL CIUDADANO"/>
    <s v="D1. Demora en los tiempos de respuesta por parte de las dependencias"/>
    <x v="0"/>
    <x v="1"/>
  </r>
  <r>
    <n v="499"/>
    <x v="1"/>
    <s v="DEBILIDAD"/>
    <s v="PROCESO GESTIÓN SERVICIO DE ATENCIÓN AL CIUDADANO"/>
    <s v="D2. Se presenta alta rotación de los funcionarios en la institución"/>
    <x v="1"/>
    <x v="15"/>
  </r>
  <r>
    <n v="500"/>
    <x v="1"/>
    <s v="DEBILIDAD"/>
    <s v="PROCESO GESTIÓN SERVICIO DE ATENCIÓN AL CIUDADANO"/>
    <s v="D3. Instalaciones locativas con falta de accesibilidad a las partes interesadas en seccionales y extensiones"/>
    <x v="4"/>
    <x v="9"/>
  </r>
  <r>
    <n v="501"/>
    <x v="1"/>
    <s v="DEBILIDAD"/>
    <s v="PROCESO GESTIÓN SERVICIO DE ATENCIÓN AL CIUDADANO"/>
    <s v="D4. Falta de claridad en las respuestas dadas por los procesos competentes"/>
    <x v="0"/>
    <x v="12"/>
  </r>
  <r>
    <n v="502"/>
    <x v="1"/>
    <s v="DEBILIDAD"/>
    <s v="PROCESO GESTIÓN SERVICIO DE ATENCIÓN AL CIUDADANO"/>
    <s v="D5. El modelo y los tiempos de gestión de la universidad son demorados"/>
    <x v="0"/>
    <x v="1"/>
  </r>
  <r>
    <n v="503"/>
    <x v="1"/>
    <s v="DEBILIDAD"/>
    <s v="PROCESO GESTIÓN SERVICIO DE ATENCIÓN AL CIUDADANO"/>
    <s v="D6. Dependencia de los usuarios al clasificar la solicitud."/>
    <x v="0"/>
    <x v="19"/>
  </r>
  <r>
    <n v="504"/>
    <x v="1"/>
    <s v="DEBILIDAD"/>
    <s v="PROCESO GESTIÓN SERVICIO DE ATENCIÓN AL CIUDADANO"/>
    <s v="D7. Dependencia de otros procesos para tomar acciones frente a las PQRS impuestas a la Universidad de Cundinamarca"/>
    <x v="0"/>
    <x v="0"/>
  </r>
  <r>
    <n v="505"/>
    <x v="1"/>
    <s v="DEBILIDAD"/>
    <s v="PROCESO GESTIÓN SERVICIO DE ATENCIÓN AL CIUDADANO"/>
    <s v="D8. Falta de toma de conciencia y conocimiento en la responsabilidad cuando se da respuesta a las PQRS por parte de los jefes de oficina y/o coordinadores"/>
    <x v="1"/>
    <x v="6"/>
  </r>
  <r>
    <n v="506"/>
    <x v="1"/>
    <s v="DEBILIDAD"/>
    <s v="PROCESO GESTIÓN SERVICIO DE ATENCIÓN AL CIUDADANO"/>
    <s v="D9.Falta de adaptabilidad del aplicativo de PQRSFYD para la población con discapacidad."/>
    <x v="4"/>
    <x v="21"/>
  </r>
  <r>
    <n v="507"/>
    <x v="1"/>
    <s v="DEBILIDAD"/>
    <s v="PROCESO GESTIÓN SERVICIO DE ATENCIÓN AL CIUDADANO"/>
    <s v="D10. Personal insuficiente para el desarrollo de las actividades del proceso."/>
    <x v="1"/>
    <x v="8"/>
  </r>
  <r>
    <n v="508"/>
    <x v="1"/>
    <s v="DEBILIDAD"/>
    <s v="PROCESO GESTIÓN SERVICIO DE ATENCIÓN AL CIUDADANO"/>
    <s v="D11. El sistema SAIC no permite reclasificar el tipo de solicitud "/>
    <x v="4"/>
    <x v="21"/>
  </r>
  <r>
    <n v="509"/>
    <x v="1"/>
    <s v="DEBILIDAD"/>
    <s v="PROCESO GESTIÓN SERVICIO DE ATENCIÓN AL CIUDADANO"/>
    <s v="D12. Falta de trazabilidad frente a las respuestas y/o soportes dados por los funcionarios responsables a las solicitudes de los peticionarios desde su inicio hasta su cierre."/>
    <x v="3"/>
    <x v="44"/>
  </r>
  <r>
    <n v="510"/>
    <x v="0"/>
    <s v="DEBILIDAD"/>
    <s v="PROCESO GESTIÓN SISTEMAS INTEGRADOS "/>
    <s v="D1. No contar con suficientes herramientas tecnológicas que permitan dar respuesta a necesidades dentro del proceso (aplicativos)"/>
    <x v="4"/>
    <x v="21"/>
  </r>
  <r>
    <n v="511"/>
    <x v="0"/>
    <s v="DEBILIDAD"/>
    <s v="PROCESO GESTIÓN SISTEMAS INTEGRADOS "/>
    <s v="D2. No es suficiente la asignación del rubro presupuestal para la ejecución de las actividades del proceso."/>
    <x v="5"/>
    <x v="11"/>
  </r>
  <r>
    <n v="512"/>
    <x v="0"/>
    <s v="DEBILIDAD"/>
    <s v="PROCESO GESTIÓN SISTEMAS INTEGRADOS "/>
    <s v="D3. Versiones iniciales de la documentación del SGC en papel"/>
    <x v="6"/>
    <x v="26"/>
  </r>
  <r>
    <n v="513"/>
    <x v="0"/>
    <s v="DEBILIDAD"/>
    <s v="PROCESO GESTIÓN SISTEMAS INTEGRADOS "/>
    <s v="D4. Contratos de trabajo interrumpido"/>
    <x v="1"/>
    <x v="15"/>
  </r>
  <r>
    <n v="514"/>
    <x v="0"/>
    <s v="DEBILIDAD"/>
    <s v="PROCESO GESTIÓN SISTEMAS INTEGRADOS "/>
    <s v="D5. Parte de la administración de los aplicativos del SGC está a cargo de otros procesos"/>
    <x v="4"/>
    <x v="21"/>
  </r>
  <r>
    <n v="515"/>
    <x v="0"/>
    <s v="DEBILIDAD"/>
    <s v="PROCESO GESTIÓN SISTEMAS INTEGRADOS "/>
    <s v="D6. Falta de disponibilidad de tiempo de los procesos para los temas de calidad"/>
    <x v="1"/>
    <x v="6"/>
  </r>
  <r>
    <n v="516"/>
    <x v="0"/>
    <s v="DEBILIDAD"/>
    <s v="PROCESO GESTIÓN SISTEMAS INTEGRADOS "/>
    <s v="D7. Rotación de facilitadores de temas de calidad en los procesos."/>
    <x v="1"/>
    <x v="15"/>
  </r>
  <r>
    <n v="517"/>
    <x v="0"/>
    <s v="DEBILIDAD"/>
    <s v="PROCESO GESTIÓN SISTEMAS INTEGRADOS "/>
    <s v="D8. Falta de articulación en las fuentes de información para la medición de los procesos."/>
    <x v="0"/>
    <x v="0"/>
  </r>
  <r>
    <n v="518"/>
    <x v="0"/>
    <s v="DEBILIDAD"/>
    <s v="PROCESO GESTIÓN SISTEMAS INTEGRADOS "/>
    <s v="D9. Falta de articulación en las herramientas administrativas de seguimiento y gestión en el proceso"/>
    <x v="4"/>
    <x v="10"/>
  </r>
  <r>
    <n v="519"/>
    <x v="0"/>
    <s v="DEBILIDAD"/>
    <s v="PROCESO GESTIÓN SISTEMAS INTEGRADOS "/>
    <s v="D10. Falta fortalecer el enfoque por procesos en la Institución"/>
    <x v="2"/>
    <x v="4"/>
  </r>
  <r>
    <n v="520"/>
    <x v="0"/>
    <s v="DEBILIDAD"/>
    <s v="PROCESO GESTIÓN SISTEMAS INTEGRADOS "/>
    <s v="D11. Falta toma de conciencia en la aplicación de los criterios documentales para la elaboración y actualización por parte de los Procesos"/>
    <x v="1"/>
    <x v="6"/>
  </r>
  <r>
    <n v="521"/>
    <x v="0"/>
    <s v="DEBILIDAD"/>
    <s v="PROCESO GESTIÓN SISTEMAS INTEGRADOS "/>
    <s v="D12. Dificultad en la comunicación por la modalidad de trabajo en casa"/>
    <x v="0"/>
    <x v="13"/>
  </r>
  <r>
    <n v="522"/>
    <x v="1"/>
    <s v="DEBILIDAD"/>
    <s v="PROCESO GESTIÓN SISTEMAS INTEGRADOS "/>
    <s v="D1. No contar con suficientes herramientas tecnológicas que permitan dar respuesta a necesidades dentro del proceso (aplicativos)"/>
    <x v="4"/>
    <x v="21"/>
  </r>
  <r>
    <n v="523"/>
    <x v="1"/>
    <s v="DEBILIDAD"/>
    <s v="PROCESO GESTIÓN SISTEMAS INTEGRADOS "/>
    <s v="D2. No es suficiente la asignación del rubro presupuestal para la ejecución de las actividades del proceso."/>
    <x v="5"/>
    <x v="11"/>
  </r>
  <r>
    <n v="524"/>
    <x v="1"/>
    <s v="DEBILIDAD"/>
    <s v="PROCESO GESTIÓN SISTEMAS INTEGRADOS "/>
    <s v="D3. Versiones iniciales de la documentación del SGC en papel."/>
    <x v="6"/>
    <x v="26"/>
  </r>
  <r>
    <n v="525"/>
    <x v="1"/>
    <s v="DEBILIDAD"/>
    <s v="PROCESO GESTIÓN SISTEMAS INTEGRADOS "/>
    <s v="D4. Contratos de trabajo interrumpido."/>
    <x v="1"/>
    <x v="15"/>
  </r>
  <r>
    <n v="526"/>
    <x v="1"/>
    <s v="DEBILIDAD"/>
    <s v="PROCESO GESTIÓN SISTEMAS INTEGRADOS "/>
    <s v="D5. Parte de la administración de los aplicativos del SGC está a cargo de otros procesos"/>
    <x v="4"/>
    <x v="21"/>
  </r>
  <r>
    <n v="527"/>
    <x v="1"/>
    <s v="DEBILIDAD"/>
    <s v="PROCESO GESTIÓN SISTEMAS INTEGRADOS "/>
    <s v="D6. Falta de disponibilidad de tiempo de los procesos para los temas de calidad"/>
    <x v="1"/>
    <x v="6"/>
  </r>
  <r>
    <n v="528"/>
    <x v="1"/>
    <s v="DEBILIDAD"/>
    <s v="PROCESO GESTIÓN SISTEMAS INTEGRADOS "/>
    <s v="D7. Rotación de facilitadores de temas de calidad en los procesos."/>
    <x v="1"/>
    <x v="15"/>
  </r>
  <r>
    <n v="529"/>
    <x v="1"/>
    <s v="DEBILIDAD"/>
    <s v="PROCESO GESTIÓN SISTEMAS INTEGRADOS "/>
    <s v="D8. Falta de articulación en las fuentes de información para la medición de los procesos."/>
    <x v="0"/>
    <x v="0"/>
  </r>
  <r>
    <n v="530"/>
    <x v="1"/>
    <s v="DEBILIDAD"/>
    <s v="PROCESO GESTIÓN SISTEMAS INTEGRADOS "/>
    <s v="D9. Falta de articulación en las herramientas administrativas de seguimiento y gestión en los procesos"/>
    <x v="4"/>
    <x v="10"/>
  </r>
  <r>
    <n v="531"/>
    <x v="1"/>
    <s v="DEBILIDAD"/>
    <s v="PROCESO GESTIÓN SISTEMAS INTEGRADOS "/>
    <s v="D10. Falta fortalecer el enfoque por procesos en la Institución"/>
    <x v="2"/>
    <x v="4"/>
  </r>
  <r>
    <n v="532"/>
    <x v="1"/>
    <s v="DEBILIDAD"/>
    <s v="PROCESO GESTIÓN SISTEMAS INTEGRADOS "/>
    <s v="D11. Falta toma de conciencia en la aplicación de los criterios documentales para la elaboración y actualización por parte de los Procesos"/>
    <x v="1"/>
    <x v="6"/>
  </r>
  <r>
    <n v="533"/>
    <x v="1"/>
    <s v="DEBILIDAD"/>
    <s v="PROCESO GESTIÓN SISTEMAS INTEGRADOS "/>
    <s v="D12. Dificultad en la comunicación por la modalidad de trabajo en casa y/o alternancia"/>
    <x v="0"/>
    <x v="13"/>
  </r>
  <r>
    <n v="534"/>
    <x v="0"/>
    <s v="DEBILIDAD"/>
    <s v="PROCESO GESTIÓN SISTEMAS Y TECNOLOGÍA"/>
    <s v="D1. No contar con los recursos económicos suficientes para la  ejecución de los proyectos tecnológicos que permitan la ejecución de actividades de la Dirección de Sistemas y Tecnología."/>
    <x v="5"/>
    <x v="11"/>
  </r>
  <r>
    <n v="535"/>
    <x v="0"/>
    <s v="DEBILIDAD"/>
    <s v="PROCESO GESTIÓN SISTEMAS Y TECNOLOGÍA"/>
    <s v="D2.Falta de directrices estratégicas que permitan establecer la planeación para el desarrollo de la Política de Gobierno Digital, establecida por el Ministerio de Información y Comunicación - MinTic"/>
    <x v="2"/>
    <x v="4"/>
  </r>
  <r>
    <n v="536"/>
    <x v="0"/>
    <s v="DEBILIDAD"/>
    <s v="PROCESO GESTIÓN SISTEMAS Y TECNOLOGÍA"/>
    <s v="D3. Capacitación insuficiente para el Personal del área de Sistemas y Tecnología."/>
    <x v="1"/>
    <x v="37"/>
  </r>
  <r>
    <n v="537"/>
    <x v="0"/>
    <s v="DEBILIDAD"/>
    <s v="PROCESO GESTIÓN SISTEMAS Y TECNOLOGÍA"/>
    <s v="D4. Falta de continuidad en la contratación del personal de la Dirección de Sistemas y Tecnología, lo que ocasiona un retraso  en el  normal desarrollo de las actividades programadas"/>
    <x v="1"/>
    <x v="15"/>
  </r>
  <r>
    <n v="538"/>
    <x v="0"/>
    <s v="DEBILIDAD"/>
    <s v="PROCESO GESTIÓN SISTEMAS Y TECNOLOGÍA"/>
    <s v="D5. Desconocimiento por parte de terceros de las directrices trazadas por la Dirección de Sistemas y Tecnología para el desarrollo e implementación de nuevo software "/>
    <x v="1"/>
    <x v="2"/>
  </r>
  <r>
    <n v="539"/>
    <x v="0"/>
    <s v="DEBILIDAD"/>
    <s v="PROCESO GESTIÓN SISTEMAS Y TECNOLOGÍA"/>
    <s v="D6. Requerimientos de desarrollo de software, con necesidades no documentadas ni establecidas en un procedimiento de calidad."/>
    <x v="0"/>
    <x v="30"/>
  </r>
  <r>
    <n v="540"/>
    <x v="0"/>
    <s v="DEBILIDAD"/>
    <s v="PROCESO GESTIÓN SISTEMAS Y TECNOLOGÍA"/>
    <s v="D7. No asistencia de los funcionarios de la Universidad de Cundinamarca  a las socializaciones  suministradas por la Dirección de Sistemas y Tecnología"/>
    <x v="1"/>
    <x v="6"/>
  </r>
  <r>
    <n v="541"/>
    <x v="0"/>
    <s v="DEBILIDAD"/>
    <s v="PROCESO GESTIÓN SISTEMAS Y TECNOLOGÍA"/>
    <s v="D8. Falta de un plan de reposición de equipos de cómputo que cumplen su vida útil."/>
    <x v="4"/>
    <x v="23"/>
  </r>
  <r>
    <n v="542"/>
    <x v="0"/>
    <s v="DEBILIDAD"/>
    <s v="PROCESO GESTIÓN SISTEMAS Y TECNOLOGÍA"/>
    <s v="D9. No es suficiente la asignación del rubro presupuestal para la ejecución de las actividades."/>
    <x v="5"/>
    <x v="11"/>
  </r>
  <r>
    <n v="543"/>
    <x v="0"/>
    <s v="DEBILIDAD"/>
    <s v="PROCESO GESTIÓN SISTEMAS Y TECNOLOGÍA"/>
    <s v="D10. Falta de Documentación adecuada y actualizada en procesos críticos gestionados por personal de Contrato a termino Fijo."/>
    <x v="0"/>
    <x v="30"/>
  </r>
  <r>
    <n v="544"/>
    <x v="0"/>
    <s v="DEBILIDAD"/>
    <s v="PROCESO GESTIÓN SISTEMAS Y TECNOLOGÍA"/>
    <s v="D11. Deficiencias en el monitoreo de Servicios Tecnológicos utilizados a los usuarios Académicos y administrativos."/>
    <x v="3"/>
    <x v="5"/>
  </r>
  <r>
    <n v="545"/>
    <x v="0"/>
    <s v="DEBILIDAD"/>
    <s v="PROCESO GESTIÓN SISTEMAS Y TECNOLOGÍA"/>
    <s v="D12. Falta de masificación en el uso de herramientas para la gestión administrativa y académica."/>
    <x v="1"/>
    <x v="6"/>
  </r>
  <r>
    <n v="546"/>
    <x v="0"/>
    <s v="DEBILIDAD"/>
    <s v="PROCESO GESTIÓN SISTEMAS Y TECNOLOGÍA"/>
    <s v="D13. No se cuenta con recursos redundantes que permitan una continuidad o un plan de Contingencia optimo en los servicios Tecnológicos Ofrecidos a las partes Interesadas."/>
    <x v="5"/>
    <x v="11"/>
  </r>
  <r>
    <n v="547"/>
    <x v="0"/>
    <s v="DEBILIDAD"/>
    <s v="PROCESO GESTIÓN SISTEMAS Y TECNOLOGÍA"/>
    <s v="D14. Seccionales y extensiones que carecen de una adecuada Planta Fisica y acceso integral a los servicios como internet"/>
    <x v="4"/>
    <x v="28"/>
  </r>
  <r>
    <n v="548"/>
    <x v="0"/>
    <s v="DEBILIDAD"/>
    <s v="PROCESO GESTIÓN SISTEMAS Y TECNOLOGÍA"/>
    <s v="D15. El método de contratación y compra es extenso y dispendioso, afectando la ejecución oportuna de los procesos."/>
    <x v="0"/>
    <x v="1"/>
  </r>
  <r>
    <n v="549"/>
    <x v="0"/>
    <s v="DEBILIDAD"/>
    <s v="PROCESO GESTIÓN SISTEMAS Y TECNOLOGÍA"/>
    <s v="D16. Falta de planeación a los cambios a corto y mediano plazo que requiera el proceso."/>
    <x v="2"/>
    <x v="16"/>
  </r>
  <r>
    <n v="550"/>
    <x v="1"/>
    <s v="DEBILIDAD"/>
    <s v="PROCESO GESTIÓN SISTEMAS Y TECNOLOGÍA"/>
    <s v="D1. No contar con los recursos económicos suficientes para la  ejecución de los proyectos tecnológicos que permitan la ejecución de actividades de la Dirección de Sistemas y Tecnología."/>
    <x v="5"/>
    <x v="11"/>
  </r>
  <r>
    <n v="551"/>
    <x v="1"/>
    <s v="DEBILIDAD"/>
    <s v="PROCESO GESTIÓN SISTEMAS Y TECNOLOGÍA"/>
    <s v="D2.Falta de directrices estratégicas que permitan establecer la planeación para el desarrollo de la Política de Gobierno Digital, establecida por el Ministerio de Información y Comunicación - MinTic"/>
    <x v="2"/>
    <x v="4"/>
  </r>
  <r>
    <n v="552"/>
    <x v="1"/>
    <s v="DEBILIDAD"/>
    <s v="PROCESO GESTIÓN SISTEMAS Y TECNOLOGÍA"/>
    <s v="D3. Capacitación insuficiente para el Personal del área de Sistemas y Tecnología."/>
    <x v="1"/>
    <x v="37"/>
  </r>
  <r>
    <n v="553"/>
    <x v="1"/>
    <s v="DEBILIDAD"/>
    <s v="PROCESO GESTIÓN SISTEMAS Y TECNOLOGÍA"/>
    <s v="D4. Falta de continuidad en la contratación del personal de la Dirección de Sistemas y Tecnología, lo que ocasiona un retraso  en el  normal desarrollo de las actividades programadas"/>
    <x v="1"/>
    <x v="15"/>
  </r>
  <r>
    <n v="554"/>
    <x v="1"/>
    <s v="DEBILIDAD"/>
    <s v="PROCESO GESTIÓN SISTEMAS Y TECNOLOGÍA"/>
    <s v="D5. Desconocimiento por parte de terceros de las directrices trazadas por la Dirección de Sistemas y Tecnología para la prestación de servicios tecnológicos."/>
    <x v="1"/>
    <x v="2"/>
  </r>
  <r>
    <n v="555"/>
    <x v="1"/>
    <s v="DEBILIDAD"/>
    <s v="PROCESO GESTIÓN SISTEMAS Y TECNOLOGÍA"/>
    <s v="D6. Requerimientos de desarrollo de software, con necesidades no documentadas ni establecidas en un procedimiento de calidad."/>
    <x v="0"/>
    <x v="30"/>
  </r>
  <r>
    <n v="557"/>
    <x v="1"/>
    <s v="DEBILIDAD"/>
    <s v="PROCESO GESTIÓN SISTEMAS Y TECNOLOGÍA"/>
    <s v="D7. Falta de un plan de reposición de equipos de cómputo que cumplen su vida útil."/>
    <x v="4"/>
    <x v="23"/>
  </r>
  <r>
    <n v="558"/>
    <x v="1"/>
    <s v="DEBILIDAD"/>
    <s v="PROCESO GESTIÓN SISTEMAS Y TECNOLOGÍA"/>
    <s v="D8. No es suficiente la asignación del rubro presupuestal para la ejecución de las actividades."/>
    <x v="5"/>
    <x v="11"/>
  </r>
  <r>
    <n v="559"/>
    <x v="1"/>
    <s v="DEBILIDAD"/>
    <s v="PROCESO GESTIÓN SISTEMAS Y TECNOLOGÍA"/>
    <s v="D9. Falta de Documentación adecuada y actualizada en procesos críticos gestionados por personal de Contrato a termino Fijo."/>
    <x v="0"/>
    <x v="30"/>
  </r>
  <r>
    <n v="560"/>
    <x v="1"/>
    <s v="DEBILIDAD"/>
    <s v="PROCESO GESTIÓN SISTEMAS Y TECNOLOGÍA"/>
    <s v="D10. Deficiencias en el monitoreo de Servicios Tecnológicos utilizados a los usuarios Académicos y administrativos."/>
    <x v="3"/>
    <x v="5"/>
  </r>
  <r>
    <n v="561"/>
    <x v="1"/>
    <s v="DEBILIDAD"/>
    <s v="PROCESO GESTIÓN SISTEMAS Y TECNOLOGÍA"/>
    <s v="D11. Falta de masificación en el uso de herramientas para la gestión administrativa y académica."/>
    <x v="1"/>
    <x v="6"/>
  </r>
  <r>
    <n v="562"/>
    <x v="1"/>
    <s v="DEBILIDAD"/>
    <s v="PROCESO GESTIÓN SISTEMAS Y TECNOLOGÍA"/>
    <s v="D12. No se cuenta con recursos redundantes que permitan una continuidad o un plan de Contingencia optimo en los servicios Tecnológicos Ofrecidos a las partes Interesadas."/>
    <x v="5"/>
    <x v="11"/>
  </r>
  <r>
    <n v="563"/>
    <x v="1"/>
    <s v="DEBILIDAD"/>
    <s v="PROCESO GESTIÓN SISTEMAS Y TECNOLOGÍA"/>
    <s v="D13. Seccionales y extensiones que carecen de una adecuada infraestructura tecnológica planta física y acceso integral a los servicios tecnológicos como internet."/>
    <x v="4"/>
    <x v="28"/>
  </r>
  <r>
    <n v="564"/>
    <x v="1"/>
    <s v="DEBILIDAD"/>
    <s v="PROCESO GESTIÓN SISTEMAS Y TECNOLOGÍA"/>
    <s v="D14. El método de contratación y compra es extenso y dispendioso, afectando la ejecución oportuna de los procesos."/>
    <x v="0"/>
    <x v="1"/>
  </r>
  <r>
    <n v="565"/>
    <x v="1"/>
    <s v="DEBILIDAD"/>
    <s v="PROCESO GESTIÓN SISTEMAS Y TECNOLOGÍA"/>
    <s v="D15. Falta de planeación a los cambios a corto y mediano plazo que requiera el proceso."/>
    <x v="2"/>
    <x v="16"/>
  </r>
  <r>
    <n v="566"/>
    <x v="0"/>
    <s v="DEBILIDAD"/>
    <s v="PROCESO GESTIÓN TALENTO HUMANO"/>
    <s v="D1. Oficina muy pequeña para el volumen de funcionarios. De la Dirección de Talento Humano."/>
    <x v="4"/>
    <x v="9"/>
  </r>
  <r>
    <n v="567"/>
    <x v="0"/>
    <s v="DEBILIDAD"/>
    <s v="PROCESO GESTIÓN TALENTO HUMANO"/>
    <s v="D2. Falta de sistematización en las diferentes actividades, que tardan el curso normal de los procesos. (Acuerdos de gestión, retenciones, impuestos, e indicadores)."/>
    <x v="0"/>
    <x v="39"/>
  </r>
  <r>
    <n v="568"/>
    <x v="0"/>
    <s v="DEBILIDAD"/>
    <s v="PROCESO GESTIÓN TALENTO HUMANO"/>
    <s v="D3. Equipo de trabajo insuficiente para el volumen de trabajo."/>
    <x v="1"/>
    <x v="8"/>
  </r>
  <r>
    <n v="569"/>
    <x v="0"/>
    <s v="DEBILIDAD"/>
    <s v="PROCESO GESTIÓN TALENTO HUMANO"/>
    <s v="D4. Ubicación del archivo de hojas de vida del personal de termino fijo muy retirado de la oficina de Talento Humano. Baja seguridad del archivo de hojas de vida, tanto de personal de termino fijo como de docentes."/>
    <x v="4"/>
    <x v="22"/>
  </r>
  <r>
    <n v="570"/>
    <x v="0"/>
    <s v="DEBILIDAD"/>
    <s v="PROCESO GESTIÓN TALENTO HUMANO"/>
    <s v="D5. Falta de verificación de la veracidad de los documentos soportes de contratación."/>
    <x v="0"/>
    <x v="45"/>
  </r>
  <r>
    <n v="571"/>
    <x v="0"/>
    <s v="DEBILIDAD"/>
    <s v="PROCESO GESTIÓN TALENTO HUMANO"/>
    <s v="D6. Falta de restricción del personal ajeno a la oficina de Talento Humano y Dependencia significativa de otros procesos, que tardan la continuidad de las actividades de los diferentes procedimientos."/>
    <x v="4"/>
    <x v="22"/>
  </r>
  <r>
    <n v="572"/>
    <x v="0"/>
    <s v="DEBILIDAD"/>
    <s v="PROCESO GESTIÓN TALENTO HUMANO"/>
    <s v="D7. Falta compromiso del personal en la asistencia de los diferentes eventos programados por el proceso de Talento Humano."/>
    <x v="1"/>
    <x v="6"/>
  </r>
  <r>
    <n v="573"/>
    <x v="0"/>
    <s v="DEBILIDAD"/>
    <s v="PROCESO GESTIÓN TALENTO HUMANO"/>
    <s v="D8. No cumplimiento de los parámetros indicados para la evaluación docente."/>
    <x v="0"/>
    <x v="27"/>
  </r>
  <r>
    <n v="574"/>
    <x v="0"/>
    <s v="DEBILIDAD"/>
    <s v="PROCESO GESTIÓN TALENTO HUMANO"/>
    <s v="D9. Equipos de hardware y red inalámbrica no aptos para el desarrollo de las actividades del proceso."/>
    <x v="4"/>
    <x v="23"/>
  </r>
  <r>
    <n v="575"/>
    <x v="0"/>
    <s v="DEBILIDAD"/>
    <s v="PROCESO GESTIÓN TALENTO HUMANO"/>
    <s v="D10. Incumplimiento de la normatividad legal vigente, relacionada con la afiliación del personal nuevo al sistema de seguridad social."/>
    <x v="0"/>
    <x v="27"/>
  </r>
  <r>
    <n v="576"/>
    <x v="0"/>
    <s v="DEBILIDAD"/>
    <s v="PROCESO GESTIÓN TALENTO HUMANO"/>
    <s v="D11. Falta de compromiso de los funcionarios contratados con la actualizacion de su historia laboral"/>
    <x v="1"/>
    <x v="6"/>
  </r>
  <r>
    <n v="577"/>
    <x v="0"/>
    <s v="DEBILIDAD"/>
    <s v="PROCESO GESTIÓN TALENTO HUMANO"/>
    <s v="D12. No se evidencia como aportan los indicadores al frente estratégico al cual esta articulado el proceso."/>
    <x v="3"/>
    <x v="36"/>
  </r>
  <r>
    <n v="578"/>
    <x v="0"/>
    <s v="DEBILIDAD"/>
    <s v="PROCESO GESTIÓN TALENTO HUMANO"/>
    <s v="D13. No se garantiza la idoneidad en cuanto a educación, formación y experiencia, frente al requisitos de los cargos "/>
    <x v="1"/>
    <x v="18"/>
  </r>
  <r>
    <n v="579"/>
    <x v="0"/>
    <s v="DEBILIDAD"/>
    <s v="PROCESO GESTIÓN TALENTO HUMANO"/>
    <s v="D14. Falta evaluar la eficacia de las capacitaciones."/>
    <x v="3"/>
    <x v="5"/>
  </r>
  <r>
    <n v="580"/>
    <x v="0"/>
    <s v="DEBILIDAD"/>
    <s v="PROCESO GESTIÓN TALENTO HUMANO"/>
    <s v="D15. No se evidencia la eficiencia en el recaudo del pago de las incapacidades "/>
    <x v="0"/>
    <x v="1"/>
  </r>
  <r>
    <n v="581"/>
    <x v="0"/>
    <s v="DEBILIDAD"/>
    <s v="PROCESO GESTIÓN TALENTO HUMANO"/>
    <s v="D16. No se cumplen las fechas establecidas en procedimientos para recepción de novedades de nómina."/>
    <x v="0"/>
    <x v="1"/>
  </r>
  <r>
    <n v="582"/>
    <x v="0"/>
    <s v="DEBILIDAD"/>
    <s v="PROCESO GESTIÓN TALENTO HUMANO"/>
    <s v="D17. Incurrir en multas y/o sanciones derivados por incumplimientos a la normatividad legal vigente causadas por paros, los cuales evitan el funcionamiento normal de la oficina."/>
    <x v="0"/>
    <x v="27"/>
  </r>
  <r>
    <n v="583"/>
    <x v="0"/>
    <s v="DEBILIDAD"/>
    <s v="PROCESO GESTIÓN TALENTO HUMANO"/>
    <s v="D18. Falta de continuidad en el contrato laboral; genera incertidumbre en los contratistas."/>
    <x v="1"/>
    <x v="15"/>
  </r>
  <r>
    <n v="584"/>
    <x v="0"/>
    <s v="DEBILIDAD"/>
    <s v="PROCESO GESTIÓN TALENTO HUMANO"/>
    <s v="D19. No se cuenta con política o mecanismo para gestionar y conservación el conocimiento de los funcionarios que se retiran de la UDEC."/>
    <x v="1"/>
    <x v="2"/>
  </r>
  <r>
    <n v="585"/>
    <x v="0"/>
    <s v="DEBILIDAD"/>
    <s v="PROCESO GESTIÓN TALENTO HUMANO"/>
    <s v="D20.Modalidad de contratación afecta la prestación del servicio y la continuidad de proyectos de investigación."/>
    <x v="1"/>
    <x v="15"/>
  </r>
  <r>
    <n v="586"/>
    <x v="0"/>
    <s v="DEBILIDAD"/>
    <s v="PROCESO GESTIÓN TALENTO HUMANO"/>
    <s v="D21. No evidencian las  acciones de planificación para el logro de los objetivos.(Hallazgo 42-2020)"/>
    <x v="2"/>
    <x v="16"/>
  </r>
  <r>
    <n v="587"/>
    <x v="0"/>
    <s v="DEBILIDAD"/>
    <s v="PROCESO GESTIÓN TALENTO HUMANO"/>
    <s v="D22. No realizar análisis apropiado a los resultados del los indicador. (Hallazgo 44-2020)"/>
    <x v="3"/>
    <x v="5"/>
  </r>
  <r>
    <n v="588"/>
    <x v="0"/>
    <s v="DEBILIDAD"/>
    <s v="PROCESO GESTIÓN TALENTO HUMANO"/>
    <s v="D23.No realizar identificación de las acciones  adecuadas para  determinar la  causa raíz  de los hallazgos en los planes de mejora.(Hallazgo 45-2020)"/>
    <x v="3"/>
    <x v="24"/>
  </r>
  <r>
    <n v="589"/>
    <x v="1"/>
    <s v="DEBILIDAD"/>
    <s v="PROCESO GESTIÓN TALENTO HUMANO"/>
    <s v="D1. Oficina muy pequeña para el volumen de funcionarios. De la Dirección de Talento Humano."/>
    <x v="4"/>
    <x v="9"/>
  </r>
  <r>
    <n v="590"/>
    <x v="1"/>
    <s v="DEBILIDAD"/>
    <s v="PROCESO GESTIÓN TALENTO HUMANO"/>
    <s v="D2. Falta de sistematización en las diferentes actividades, que tardan el curso normal de los procesos. (Acuerdos de gestión, retenciones, impuestos, e indicadores)."/>
    <x v="0"/>
    <x v="39"/>
  </r>
  <r>
    <n v="591"/>
    <x v="1"/>
    <s v="DEBILIDAD"/>
    <s v="PROCESO GESTIÓN TALENTO HUMANO"/>
    <s v="D3. Equipo de trabajo insuficiente para el volumen de trabajo."/>
    <x v="1"/>
    <x v="8"/>
  </r>
  <r>
    <n v="592"/>
    <x v="1"/>
    <s v="DEBILIDAD"/>
    <s v="PROCESO GESTIÓN TALENTO HUMANO"/>
    <s v="D4. Ubicación del archivo de hojas de vida del personal de termino fijo muy retirado de la oficina de Talento Humano. Baja seguridad del archivo de hojas de vida, tanto de personal de termino fijo como de docentes."/>
    <x v="4"/>
    <x v="22"/>
  </r>
  <r>
    <n v="593"/>
    <x v="1"/>
    <s v="DEBILIDAD"/>
    <s v="PROCESO GESTIÓN TALENTO HUMANO"/>
    <s v="D5. Falta de verificación de la veracidad de los documentos soportes de contratación."/>
    <x v="0"/>
    <x v="45"/>
  </r>
  <r>
    <n v="594"/>
    <x v="1"/>
    <s v="DEBILIDAD"/>
    <s v="PROCESO GESTIÓN TALENTO HUMANO"/>
    <s v="D6. Falta de restricción del personal ajeno a la oficina de Talento Humano y Dependencia significativa de otros procesos, que tardan la continuidad de las actividades de los diferentes procedimientos."/>
    <x v="4"/>
    <x v="22"/>
  </r>
  <r>
    <n v="595"/>
    <x v="1"/>
    <s v="DEBILIDAD"/>
    <s v="PROCESO GESTIÓN TALENTO HUMANO"/>
    <s v="D7. Falta compromiso del personal en la asistencia de los diferentes eventos programados por el proceso de Talento Humano."/>
    <x v="1"/>
    <x v="6"/>
  </r>
  <r>
    <n v="596"/>
    <x v="1"/>
    <s v="DEBILIDAD"/>
    <s v="PROCESO GESTIÓN TALENTO HUMANO"/>
    <s v="D8. No cumplimiento de los parámetros indicados para la evaluación docente."/>
    <x v="0"/>
    <x v="27"/>
  </r>
  <r>
    <n v="597"/>
    <x v="1"/>
    <s v="DEBILIDAD"/>
    <s v="PROCESO GESTIÓN TALENTO HUMANO"/>
    <s v="D9. Equipos de hardware y red inalámbrica no aptos para el desarrollo de las actividades del proceso."/>
    <x v="4"/>
    <x v="23"/>
  </r>
  <r>
    <n v="598"/>
    <x v="1"/>
    <s v="DEBILIDAD"/>
    <s v="PROCESO GESTIÓN TALENTO HUMANO"/>
    <s v="D10. Incumplimiento de la normatividad legal vigente, relacionada con la afiliación del personal nuevo al sistema de seguridad social."/>
    <x v="0"/>
    <x v="27"/>
  </r>
  <r>
    <n v="599"/>
    <x v="1"/>
    <s v="DEBILIDAD"/>
    <s v="PROCESO GESTIÓN TALENTO HUMANO"/>
    <s v="D11. Falta de compromiso de los funcionarios contratados con la actualizacion de su historia laboral"/>
    <x v="1"/>
    <x v="6"/>
  </r>
  <r>
    <n v="600"/>
    <x v="1"/>
    <s v="DEBILIDAD"/>
    <s v="PROCESO GESTIÓN TALENTO HUMANO"/>
    <s v="D12. No se evidencia como aportan los indicadores al frente estratégico al cual esta articulado el proceso."/>
    <x v="3"/>
    <x v="36"/>
  </r>
  <r>
    <n v="601"/>
    <x v="1"/>
    <s v="DEBILIDAD"/>
    <s v="PROCESO GESTIÓN TALENTO HUMANO"/>
    <s v="D13. No se garantiza la idoneidad en cuanto a educación, formación y experiencia, frente al requisitos de los cargos "/>
    <x v="1"/>
    <x v="18"/>
  </r>
  <r>
    <n v="602"/>
    <x v="1"/>
    <s v="DEBILIDAD"/>
    <s v="PROCESO GESTIÓN TALENTO HUMANO"/>
    <s v="D14. Falta evaluar la eficacia de las capacitaciones."/>
    <x v="3"/>
    <x v="5"/>
  </r>
  <r>
    <n v="603"/>
    <x v="1"/>
    <s v="DEBILIDAD"/>
    <s v="PROCESO GESTIÓN TALENTO HUMANO"/>
    <s v="D15. No se evidencia la eficiencia en el recaudo del pago de las incapacidades "/>
    <x v="0"/>
    <x v="1"/>
  </r>
  <r>
    <n v="604"/>
    <x v="1"/>
    <s v="DEBILIDAD"/>
    <s v="PROCESO GESTIÓN TALENTO HUMANO"/>
    <s v="D16. No se cumplen las fechas establecidas en procedimientos para recepción de novedades de nómina."/>
    <x v="0"/>
    <x v="1"/>
  </r>
  <r>
    <n v="605"/>
    <x v="1"/>
    <s v="DEBILIDAD"/>
    <s v="PROCESO GESTIÓN TALENTO HUMANO"/>
    <s v="D17. Incurrir en multas y/o sanciones derivados por incumplimientos a la normatividad legal vigente causadas por paros, los cuales evitan el funcionamiento normal de la oficina."/>
    <x v="0"/>
    <x v="27"/>
  </r>
  <r>
    <n v="606"/>
    <x v="1"/>
    <s v="DEBILIDAD"/>
    <s v="PROCESO GESTIÓN TALENTO HUMANO"/>
    <s v="D18. Falta de continuidad en el contrato laboral; genera incertidumbre en los contratistas."/>
    <x v="1"/>
    <x v="15"/>
  </r>
  <r>
    <n v="607"/>
    <x v="1"/>
    <s v="DEBILIDAD"/>
    <s v="PROCESO GESTIÓN TALENTO HUMANO"/>
    <s v="D19. No se cuenta con política o mecanismo para gestionar y conservación el conocimiento de los funcionarios que se retiran de la UDEC."/>
    <x v="1"/>
    <x v="2"/>
  </r>
  <r>
    <n v="608"/>
    <x v="1"/>
    <s v="DEBILIDAD"/>
    <s v="PROCESO GESTIÓN TALENTO HUMANO"/>
    <s v="D20.Modalidad de contratación afecta la prestación del servicio y la continuidad de proyectos de investigación."/>
    <x v="1"/>
    <x v="15"/>
  </r>
  <r>
    <n v="609"/>
    <x v="1"/>
    <s v="DEBILIDAD"/>
    <s v="PROCESO GESTIÓN TALENTO HUMANO"/>
    <s v="D21. No evidencian las  acciones de planificación para el logro de los objetivos."/>
    <x v="2"/>
    <x v="16"/>
  </r>
  <r>
    <n v="610"/>
    <x v="1"/>
    <s v="DEBILIDAD"/>
    <s v="PROCESO GESTIÓN TALENTO HUMANO"/>
    <s v="D22. No realizar análisis apropiado a los resultados del los indicador. "/>
    <x v="3"/>
    <x v="5"/>
  </r>
  <r>
    <n v="611"/>
    <x v="1"/>
    <s v="DEBILIDAD"/>
    <s v="PROCESO GESTIÓN TALENTO HUMANO"/>
    <s v="D23.No realizar identificación de las acciones  adecuadas para  determinar la  causa raíz  de los hallazgos en los planes de mejora."/>
    <x v="3"/>
    <x v="24"/>
  </r>
  <r>
    <n v="612"/>
    <x v="1"/>
    <s v="DEBILIDAD"/>
    <s v="PROCESO GESTIÓN TALENTO HUMANO"/>
    <s v="D24. No se tiene evidencia de la rendición de cuenta de los funcionarios de acuerdo con los roles y responsabilidades asignados para SST -"/>
    <x v="0"/>
    <x v="27"/>
  </r>
  <r>
    <n v="613"/>
    <x v="1"/>
    <s v="DEBILIDAD"/>
    <s v="PROCESO GESTIÓN TALENTO HUMANO"/>
    <s v="D25. No se cuenta con el reglamento de trabajo interno formalizado y publicado "/>
    <x v="0"/>
    <x v="27"/>
  </r>
  <r>
    <n v="614"/>
    <x v="0"/>
    <s v="DEBILIDAD"/>
    <s v="PROCESO GESTIÓN SISTEMA DE LA SEGURIDAD Y SALUD EN EL TRABAJO"/>
    <s v="D1. Falta de sistematización en las diferentes actividades, que tardan el curso normal de los procesos. (inspecciones sg-sst e indicadores)."/>
    <x v="0"/>
    <x v="39"/>
  </r>
  <r>
    <n v="615"/>
    <x v="0"/>
    <s v="DEBILIDAD"/>
    <s v="PROCESO GESTIÓN SISTEMA DE LA SEGURIDAD Y SALUD EN EL TRABAJO"/>
    <s v="D2. Equipo de trabajo insuficiente para el volumen de trabajo."/>
    <x v="1"/>
    <x v="8"/>
  </r>
  <r>
    <n v="616"/>
    <x v="0"/>
    <s v="DEBILIDAD"/>
    <s v="PROCESO GESTIÓN SISTEMA DE LA SEGURIDAD Y SALUD EN EL TRABAJO"/>
    <s v="D3. Falta de cobertura del SG-SST a todas la Sede, Seccionales, Extensiones, Granjas y Oficina de la Universidad."/>
    <x v="2"/>
    <x v="16"/>
  </r>
  <r>
    <n v="617"/>
    <x v="0"/>
    <s v="DEBILIDAD"/>
    <s v="PROCESO GESTIÓN SISTEMA DE LA SEGURIDAD Y SALUD EN EL TRABAJO"/>
    <s v="D4. Falta compromiso del personal en la asistencia de los diferentes eventos programados por SG-SST."/>
    <x v="1"/>
    <x v="6"/>
  </r>
  <r>
    <n v="618"/>
    <x v="0"/>
    <s v="DEBILIDAD"/>
    <s v="PROCESO GESTIÓN SISTEMA DE LA SEGURIDAD Y SALUD EN EL TRABAJO"/>
    <s v="D5. Incumplimiento de la normatividad legal vigente, relacionada con la afiliación del personal nuevo a la ARL."/>
    <x v="0"/>
    <x v="27"/>
  </r>
  <r>
    <n v="619"/>
    <x v="0"/>
    <s v="DEBILIDAD"/>
    <s v="PROCESO GESTIÓN SISTEMA DE LA SEGURIDAD Y SALUD EN EL TRABAJO"/>
    <s v="D6. No identificación oportuna de cambios en la legislación vigente."/>
    <x v="0"/>
    <x v="14"/>
  </r>
  <r>
    <n v="620"/>
    <x v="0"/>
    <s v="DEBILIDAD"/>
    <s v="PROCESO GESTIÓN SISTEMA DE LA SEGURIDAD Y SALUD EN EL TRABAJO"/>
    <s v="D7. No se evidencia como aportan los indicadores al frente estratégico al cual esta articulado el proceso."/>
    <x v="3"/>
    <x v="36"/>
  </r>
  <r>
    <n v="621"/>
    <x v="0"/>
    <s v="DEBILIDAD"/>
    <s v="PROCESO GESTIÓN SISTEMA DE LA SEGURIDAD Y SALUD EN EL TRABAJO"/>
    <s v="D8. Falta evaluar la eficacia de las capacitaciones."/>
    <x v="3"/>
    <x v="36"/>
  </r>
  <r>
    <n v="622"/>
    <x v="0"/>
    <s v="DEBILIDAD"/>
    <s v="PROCESO GESTIÓN SISTEMA DE LA SEGURIDAD Y SALUD EN EL TRABAJO"/>
    <s v="D9. Falta compromiso del personal frente a la realización y cumplimentó de las actividades relacionadas con Seguridad y Salud en el Trabajo (pausas activas, actividades de PyP)."/>
    <x v="1"/>
    <x v="6"/>
  </r>
  <r>
    <n v="623"/>
    <x v="0"/>
    <s v="DEBILIDAD"/>
    <s v="PROCESO GESTIÓN SISTEMA DE LA SEGURIDAD Y SALUD EN EL TRABAJO"/>
    <s v="D10. No cumplimiento de la obligación de reporte de accidentes de trabajo en los tiempos establecidos."/>
    <x v="0"/>
    <x v="1"/>
  </r>
  <r>
    <n v="624"/>
    <x v="0"/>
    <s v="DEBILIDAD"/>
    <s v="PROCESO GESTIÓN SISTEMA DE LA SEGURIDAD Y SALUD EN EL TRABAJO"/>
    <s v="D11. Falta de recursos para el desplazamiento a los centros de trabajo. "/>
    <x v="4"/>
    <x v="41"/>
  </r>
  <r>
    <n v="625"/>
    <x v="0"/>
    <s v="DEBILIDAD"/>
    <s v="PROCESO GESTIÓN SISTEMA DE LA SEGURIDAD Y SALUD EN EL TRABAJO"/>
    <s v="D12. Riesgo publico por desplazamientos."/>
    <x v="7"/>
    <x v="42"/>
  </r>
  <r>
    <n v="626"/>
    <x v="0"/>
    <s v="DEBILIDAD"/>
    <s v="PROCESO GESTIÓN SISTEMA DE LA SEGURIDAD Y SALUD EN EL TRABAJO"/>
    <s v="D13. Falta de continuidad en el contrato laboral; genera incertidumbre en los contratistas (traumatismo en los procesos) y deficiencia en la cobertura de personal responsable del SG-SST. "/>
    <x v="1"/>
    <x v="35"/>
  </r>
  <r>
    <n v="627"/>
    <x v="0"/>
    <s v="DEBILIDAD"/>
    <s v="PROCESO GESTIÓN SISTEMA DE LA SEGURIDAD Y SALUD EN EL TRABAJO"/>
    <s v="D14. Dificultades en la conectividad virtual con todos los centros de trabajo para desarrollar el COPASST."/>
    <x v="4"/>
    <x v="28"/>
  </r>
  <r>
    <n v="628"/>
    <x v="0"/>
    <s v="DEBILIDAD"/>
    <s v="PROCESO GESTIÓN SISTEMA DE LA SEGURIDAD Y SALUD EN EL TRABAJO"/>
    <s v="D15. Debilidad en las estructura y debilidad en los lineamientos para la brigada de emergencias."/>
    <x v="2"/>
    <x v="16"/>
  </r>
  <r>
    <n v="629"/>
    <x v="0"/>
    <s v="DEBILIDAD"/>
    <s v="PROCESO GESTIÓN SISTEMA DE LA SEGURIDAD Y SALUD EN EL TRABAJO"/>
    <s v="D16.Afectación por la presencia   de manifestantes que generan disturbios al interior de la institución afectando la infraestructura y generan la activación del plan de emergencia."/>
    <x v="4"/>
    <x v="9"/>
  </r>
  <r>
    <n v="630"/>
    <x v="0"/>
    <s v="DEBILIDAD"/>
    <s v="PROCESO GESTIÓN SISTEMA DE LA SEGURIDAD Y SALUD EN EL TRABAJO"/>
    <s v="D17. No evidencian las  acciones de planificación para el logro de los objetivos.(Hallazgo 42-2020)"/>
    <x v="2"/>
    <x v="16"/>
  </r>
  <r>
    <n v="631"/>
    <x v="0"/>
    <s v="DEBILIDAD"/>
    <s v="PROCESO GESTIÓN SISTEMA DE LA SEGURIDAD Y SALUD EN EL TRABAJO"/>
    <s v="D18. No realizar análisis apropiado a los resultados del los indicador. (Hallazgo 44-2020)"/>
    <x v="3"/>
    <x v="36"/>
  </r>
  <r>
    <n v="632"/>
    <x v="0"/>
    <s v="DEBILIDAD"/>
    <s v="PROCESO GESTIÓN SISTEMA DE LA SEGURIDAD Y SALUD EN EL TRABAJO"/>
    <s v="D19.No realizar identificación de las acciones  adecuadas para  determinar la  causa raíz  de los hallazgos en los planes de mejora.(Hallazgo 45-2020)"/>
    <x v="3"/>
    <x v="5"/>
  </r>
  <r>
    <n v="633"/>
    <x v="0"/>
    <s v="DEBILIDAD"/>
    <s v="PROCESO GESTIÓN SISTEMA DE LA SEGURIDAD Y SALUD EN EL TRABAJO"/>
    <s v="D20.No contar con un mecanismo que permitan activar la cadena de llamada de emergencias, con las autoridades municipales. (hallazgo 1)"/>
    <x v="0"/>
    <x v="13"/>
  </r>
  <r>
    <n v="634"/>
    <x v="0"/>
    <s v="DEBILIDAD"/>
    <s v="PROCESO GESTIÓN SISTEMA DE LA SEGURIDAD Y SALUD EN EL TRABAJO"/>
    <s v="D21. Falta de lineamientos para la articulación de los elementos transversales de los sistemas de gestión. "/>
    <x v="0"/>
    <x v="0"/>
  </r>
  <r>
    <n v="635"/>
    <x v="0"/>
    <s v="DEBILIDAD"/>
    <s v="PROCESO GESTIÓN SISTEMA DE LA SEGURIDAD Y SALUD EN EL TRABAJO"/>
    <s v="D22. Falta de evaluación periodica de la matriz de identificación de peligros y riesgos nuevos y existentes de las unidades agroambiental que permitan la identificación de nuevos controles que mitigen los risgos  del personas que trabaja a compo abierto."/>
    <x v="3"/>
    <x v="5"/>
  </r>
  <r>
    <n v="636"/>
    <x v="1"/>
    <s v="DEBILIDAD"/>
    <s v="PROCESO GESTIÓN SISTEMA DE LA SEGURIDAD Y SALUD EN EL TRABAJO"/>
    <s v="D1. Falta de sistematización en las diferentes actividades, que tardan el curso normal de los procesos. (inspecciones sg-sst e indicadores)."/>
    <x v="0"/>
    <x v="39"/>
  </r>
  <r>
    <n v="637"/>
    <x v="1"/>
    <s v="DEBILIDAD"/>
    <s v="PROCESO GESTIÓN SISTEMA DE LA SEGURIDAD Y SALUD EN EL TRABAJO"/>
    <s v="D2. Equipo de trabajo insuficiente para el volumen de trabajo."/>
    <x v="1"/>
    <x v="8"/>
  </r>
  <r>
    <n v="638"/>
    <x v="1"/>
    <s v="DEBILIDAD"/>
    <s v="PROCESO GESTIÓN SISTEMA DE LA SEGURIDAD Y SALUD EN EL TRABAJO"/>
    <s v="D3. Falta de cobertura del SG-SST a todas la Sede, Seccionales, Extensiones, Granjas y Oficina de la Universidad."/>
    <x v="2"/>
    <x v="16"/>
  </r>
  <r>
    <n v="639"/>
    <x v="1"/>
    <s v="DEBILIDAD"/>
    <s v="PROCESO GESTIÓN SISTEMA DE LA SEGURIDAD Y SALUD EN EL TRABAJO"/>
    <s v="D4. Falta compromiso del personal en la asistencia de los diferentes eventos programados por SG-SST."/>
    <x v="1"/>
    <x v="6"/>
  </r>
  <r>
    <n v="640"/>
    <x v="1"/>
    <s v="DEBILIDAD"/>
    <s v="PROCESO GESTIÓN SISTEMA DE LA SEGURIDAD Y SALUD EN EL TRABAJO"/>
    <s v="D5. Incumplimiento de la normatividad legal vigente, relacionada con la afiliación del personal nuevo a la ARL."/>
    <x v="0"/>
    <x v="27"/>
  </r>
  <r>
    <n v="641"/>
    <x v="1"/>
    <s v="DEBILIDAD"/>
    <s v="PROCESO GESTIÓN SISTEMA DE LA SEGURIDAD Y SALUD EN EL TRABAJO"/>
    <s v="D6. No identificación oportuna de cambios en la legislación vigente."/>
    <x v="0"/>
    <x v="14"/>
  </r>
  <r>
    <n v="642"/>
    <x v="1"/>
    <s v="DEBILIDAD"/>
    <s v="PROCESO GESTIÓN SISTEMA DE LA SEGURIDAD Y SALUD EN EL TRABAJO"/>
    <s v="D7. No se evidencia como aportan los indicadores al frente estratégico al cual esta articulado el proceso."/>
    <x v="3"/>
    <x v="36"/>
  </r>
  <r>
    <n v="643"/>
    <x v="1"/>
    <s v="DEBILIDAD"/>
    <s v="PROCESO GESTIÓN SISTEMA DE LA SEGURIDAD Y SALUD EN EL TRABAJO"/>
    <s v="D8. Falta evaluar la eficacia de las capacitaciones."/>
    <x v="3"/>
    <x v="36"/>
  </r>
  <r>
    <n v="645"/>
    <x v="1"/>
    <s v="DEBILIDAD"/>
    <s v="PROCESO GESTIÓN SISTEMA DE LA SEGURIDAD Y SALUD EN EL TRABAJO"/>
    <s v="D9. No cumplimiento de la obligación de reporte de accidentes de trabajo en los tiempos establecidos."/>
    <x v="0"/>
    <x v="1"/>
  </r>
  <r>
    <n v="646"/>
    <x v="1"/>
    <s v="DEBILIDAD"/>
    <s v="PROCESO GESTIÓN SISTEMA DE LA SEGURIDAD Y SALUD EN EL TRABAJO"/>
    <s v="D10. Riesgo publico por desplazamientos."/>
    <x v="7"/>
    <x v="42"/>
  </r>
  <r>
    <n v="648"/>
    <x v="1"/>
    <s v="DEBILIDAD"/>
    <s v="PROCESO GESTIÓN SISTEMA DE LA SEGURIDAD Y SALUD EN EL TRABAJO"/>
    <s v="D11. Falta de continuidad en el contrato laboral; genera incertidumbre en los contratistas (traumatismo en los procesos) y deficiencia en la cobertura de personal responsable del SG-SST. "/>
    <x v="1"/>
    <x v="35"/>
  </r>
  <r>
    <n v="649"/>
    <x v="1"/>
    <s v="DEBILIDAD"/>
    <s v="PROCESO GESTIÓN SISTEMA DE LA SEGURIDAD Y SALUD EN EL TRABAJO"/>
    <s v="D12. Dificultades en la conectividad virtual con todos los centros de trabajo para desarrollar el COPASST."/>
    <x v="4"/>
    <x v="28"/>
  </r>
  <r>
    <n v="650"/>
    <x v="1"/>
    <s v="DEBILIDAD"/>
    <s v="PROCESO GESTIÓN SISTEMA DE LA SEGURIDAD Y SALUD EN EL TRABAJO"/>
    <s v="D13. Debilidad en las estructura y debilidad en los lineamientos para la brigada de emergencias."/>
    <x v="2"/>
    <x v="16"/>
  </r>
  <r>
    <n v="652"/>
    <x v="1"/>
    <s v="DEBILIDAD"/>
    <s v="PROCESO GESTIÓN SISTEMA DE LA SEGURIDAD Y SALUD EN EL TRABAJO"/>
    <s v="D14.Afectación por la presencia   de manifestantes que generan disturbios al interior de la institución afectando la infraestructura y generan la activación del plan de emergencia."/>
    <x v="4"/>
    <x v="9"/>
  </r>
  <r>
    <n v="653"/>
    <x v="1"/>
    <s v="DEBILIDAD"/>
    <s v="PROCESO GESTIÓN SISTEMA DE LA SEGURIDAD Y SALUD EN EL TRABAJO"/>
    <s v="D15. No evidencian las  acciones de planificación para el logro de los objetivos."/>
    <x v="2"/>
    <x v="16"/>
  </r>
  <r>
    <n v="654"/>
    <x v="1"/>
    <s v="DEBILIDAD"/>
    <s v="PROCESO GESTIÓN SISTEMA DE LA SEGURIDAD Y SALUD EN EL TRABAJO"/>
    <s v="D16. No realizar análisis apropiado a los resultados de los indicadores. "/>
    <x v="3"/>
    <x v="36"/>
  </r>
  <r>
    <n v="655"/>
    <x v="1"/>
    <s v="DEBILIDAD"/>
    <s v="PROCESO GESTIÓN SISTEMA DE LA SEGURIDAD Y SALUD EN EL TRABAJO"/>
    <s v="D17.No realizar identificación de las acciones  adecuadas para  determinar la  causa raíz  de los hallazgos en los planes de mejora."/>
    <x v="3"/>
    <x v="5"/>
  </r>
  <r>
    <n v="656"/>
    <x v="1"/>
    <s v="DEBILIDAD"/>
    <s v="PROCESO GESTIÓN SISTEMA DE LA SEGURIDAD Y SALUD EN EL TRABAJO"/>
    <s v="D18.No contar con un mecanismo que permitan activar la cadena de llamada de emergencias, con las autoridades municipales. "/>
    <x v="0"/>
    <x v="13"/>
  </r>
  <r>
    <n v="657"/>
    <x v="1"/>
    <s v="DEBILIDAD"/>
    <s v="PROCESO GESTIÓN SISTEMA DE LA SEGURIDAD Y SALUD EN EL TRABAJO"/>
    <s v="D19. Falta de lineamientos para la articulación de los elementos transversales de los sistemas de gestión. "/>
    <x v="0"/>
    <x v="0"/>
  </r>
  <r>
    <n v="658"/>
    <x v="1"/>
    <s v="DEBILIDAD"/>
    <s v="PROCESO GESTIÓN SISTEMA DE LA SEGURIDAD Y SALUD EN EL TRABAJO"/>
    <s v="D20. Falta de evaluación periodica de la matriz de identificación de peligros y riesgos nuevos y existentes de las unidades agroambiental que permitan la identificación de nuevos controles que mitigen los risgos  del personas que trabaja a compo abierto."/>
    <x v="3"/>
    <x v="5"/>
  </r>
  <r>
    <n v="659"/>
    <x v="1"/>
    <s v="DEBILIDAD"/>
    <s v="PROCESO GESTIÓN SISTEMA DE LA SEGURIDAD Y SALUD EN EL TRABAJO"/>
    <s v="D21.No se asegura la conservación de las registros  de  la inducción y reinducción del SG-SST. "/>
    <x v="0"/>
    <x v="30"/>
  </r>
  <r>
    <n v="660"/>
    <x v="1"/>
    <s v="DEBILIDAD"/>
    <s v="PROCESO GESTIÓN SISTEMA DE LA SEGURIDAD Y SALUD EN EL TRABAJO"/>
    <s v="D22. No se cuenta con un control que asegure el cumplimiento de los requisitos de SST en la ejecución de las  ordenes contractuales de servicios de los proveedores y contratista."/>
    <x v="3"/>
    <x v="5"/>
  </r>
  <r>
    <n v="661"/>
    <x v="1"/>
    <s v="DEBILIDAD"/>
    <s v="PROCESO GESTIÓN SISTEMA DE LA SEGURIDAD Y SALUD EN EL TRABAJO"/>
    <s v="D23. Falta fortalecer la comunicación entre el proceso de la academia  y el  SG-SST  frente a la gestión de riesgos asociados a  formación y aprendizaje"/>
    <x v="0"/>
    <x v="13"/>
  </r>
  <r>
    <n v="662"/>
    <x v="1"/>
    <s v="DEBILIDAD"/>
    <s v="PROCESO GESTIÓN SISTEMA DE LA SEGURIDAD Y SALUD EN EL TRABAJO"/>
    <s v="D24. Falta de la definición de los roles que permitan la independencia del SG-SST, con respecto manejo documental. "/>
    <x v="0"/>
    <x v="30"/>
  </r>
  <r>
    <n v="663"/>
    <x v="1"/>
    <s v="DEBILIDAD"/>
    <s v="PROCESO GESTIÓN GRADUADOS"/>
    <s v="D10. No se cuenta con una articulación de la Universidad Cundinamarca  y los graduados para  continuar con los programas de investigación."/>
    <x v="0"/>
    <x v="0"/>
  </r>
  <r>
    <n v="664"/>
    <x v="1"/>
    <s v="DEBILIDAD"/>
    <s v="PROCESO GESTIÓN GRADUADOS"/>
    <s v="D11. No considerar  a los graduados en condición de discapacidad en la planeación y realización de  los eventos. "/>
    <x v="2"/>
    <x v="16"/>
  </r>
  <r>
    <n v="665"/>
    <x v="1"/>
    <s v="DEBILIDAD"/>
    <s v="PROCESO GESTIÓN GRADUADOS"/>
    <s v="D12. No actualizar de manera oportuna los cambios a la  planificación de los eventos frente a situaciones de contingencia. "/>
    <x v="2"/>
    <x v="16"/>
  </r>
</pivotCacheRecords>
</file>

<file path=xl/pivotCache/pivotCacheRecords6.xml><?xml version="1.0" encoding="utf-8"?>
<pivotCacheRecords xmlns="http://schemas.openxmlformats.org/spreadsheetml/2006/main" xmlns:r="http://schemas.openxmlformats.org/officeDocument/2006/relationships" count="332">
  <r>
    <s v="DEBILIDAD"/>
    <x v="0"/>
    <s v="D1. Dependencia de otras áreas para la ejecución de las actividades del proceso que generan retrasos"/>
    <x v="0"/>
    <x v="0"/>
  </r>
  <r>
    <s v="DEBILIDAD"/>
    <x v="0"/>
    <s v="D2. Los consejos de Facultad y las direcciones de programa no envían oportunamente a la oficina de Admisiones y Registro, las actas de consejo, actas de sustentación y vistos buenos, para iniciar el proceso de Revisión de carpeta y Novedades Académicas."/>
    <x v="0"/>
    <x v="1"/>
  </r>
  <r>
    <s v="DEBILIDAD"/>
    <x v="0"/>
    <s v="D3. Demora de la oficina de tesorería en cargar archivos planos de los pagos realizados por parte de los estudiantes y aspirantes. "/>
    <x v="0"/>
    <x v="1"/>
  </r>
  <r>
    <s v="DEBILIDAD"/>
    <x v="0"/>
    <s v="D4. Falta de digitación oportuna de Notas por parte de los docentes de los diferentes programas Académicos."/>
    <x v="0"/>
    <x v="1"/>
  </r>
  <r>
    <s v="DEBILIDAD"/>
    <x v="0"/>
    <s v="D5. Falta asegurar la gestión del conocimiento en el proceso"/>
    <x v="1"/>
    <x v="2"/>
  </r>
  <r>
    <s v="DEBILIDAD"/>
    <x v="0"/>
    <s v="D6. La estructura orgánica es inapropiada para la ejecución de los planes, lo que hace que los trámites sean mas demorados"/>
    <x v="2"/>
    <x v="3"/>
  </r>
  <r>
    <s v="DEBILIDAD"/>
    <x v="0"/>
    <s v="D7. Falta fortalecer el pilar estratégico de la trasnhumanidad en el proceso (ambiente laboral)"/>
    <x v="2"/>
    <x v="4"/>
  </r>
  <r>
    <s v="DEBILIDAD"/>
    <x v="0"/>
    <s v="D8. Falta realizar seguimiento al incumplimiento de metas frente a los indicadores del proceso"/>
    <x v="3"/>
    <x v="5"/>
  </r>
  <r>
    <s v="DEBILIDAD"/>
    <x v="0"/>
    <s v="D9. Falta de presentación oportuna de los compromisos del Sistema de Gestión de la Calidad."/>
    <x v="1"/>
    <x v="6"/>
  </r>
  <r>
    <s v="DEBILIDAD"/>
    <x v="1"/>
    <s v="D1. El alcance del proceso es demasiado  grande teniendo en cuenta la cantidad de espacios académicos presentes en las unidades regionales y manejando la oficina centralizada en la sede, lo que no permite tener un impacto eficiente. (no hacen uso de los sistemas de  información con los que cuenta el proceso)."/>
    <x v="2"/>
    <x v="7"/>
  </r>
  <r>
    <s v="DEBILIDAD"/>
    <x v="1"/>
    <s v="D2. No se cuenta con un profesional que lidere los laboratorios de sede, seccionales y extensiones. Como lo tiene bibliotecas y granjas."/>
    <x v="1"/>
    <x v="8"/>
  </r>
  <r>
    <s v="DEBILIDAD"/>
    <x v="1"/>
    <s v="D3. Infraestructura limitada para los laboratorios."/>
    <x v="4"/>
    <x v="9"/>
  </r>
  <r>
    <s v="DEBILIDAD"/>
    <x v="1"/>
    <s v="D4. Falta de articulación de los diferentes actores en la formulación y ejecución de los proyectos aprobados por el COUNFIS y planeación institucional encaminados al mejoramiento de los espacios académicos adscritos a la unidad de apoyo académico."/>
    <x v="0"/>
    <x v="0"/>
  </r>
  <r>
    <s v="DEBILIDAD"/>
    <x v="1"/>
    <s v="D5.Elementos académicos que no cuenten con las condiciones mínimas para su préstamo"/>
    <x v="4"/>
    <x v="10"/>
  </r>
  <r>
    <s v="DEBILIDAD"/>
    <x v="1"/>
    <s v="D6. Cargue inoportuno de documentos en el repositorio institucional de la biblioteca en seccionales y extensiones. "/>
    <x v="0"/>
    <x v="1"/>
  </r>
  <r>
    <s v="DEBILIDAD"/>
    <x v="1"/>
    <s v="D7.Falta de asignación de recursos económicos para garantizar el mantenimiento preventivo, correctivo y calibración."/>
    <x v="5"/>
    <x v="11"/>
  </r>
  <r>
    <s v="DEBILIDAD"/>
    <x v="1"/>
    <s v="D8. El reporte no oportuno de los demás procesos (Investigación, Docencia) en cuanto a sus necesidades de recursos académicos tales como: Calibración de Equipos, Licenciamiento de Software y Recursos Bibliográficos."/>
    <x v="0"/>
    <x v="12"/>
  </r>
  <r>
    <s v="DEBILIDAD"/>
    <x v="1"/>
    <s v="D9. Falta condiciones para el almacenamiento de químicos en laboratorios."/>
    <x v="4"/>
    <x v="9"/>
  </r>
  <r>
    <s v="DEBILIDAD"/>
    <x v="1"/>
    <s v="D10. No aprovechamiento de los recursos de apoyo por parte de la academia"/>
    <x v="1"/>
    <x v="6"/>
  </r>
  <r>
    <s v="DEBILIDAD"/>
    <x v="1"/>
    <s v="D11. El reporte no oportuno de los demás procesos(Investigación - Formación y Aprendizaje): Calibración y mantenimiento de Equipos."/>
    <x v="0"/>
    <x v="12"/>
  </r>
  <r>
    <s v="DEBILIDAD"/>
    <x v="1"/>
    <s v="D12. Falta asegurar la aplicación de los criterios en cuanto a la priorización de los mantenimientos"/>
    <x v="1"/>
    <x v="6"/>
  </r>
  <r>
    <s v="DEBILIDAD"/>
    <x v="2"/>
    <s v="D1: Cultura reactiva ante situaciones complejas"/>
    <x v="0"/>
    <x v="13"/>
  </r>
  <r>
    <s v="DEBILIDAD"/>
    <x v="2"/>
    <s v="D2: Entrega inoportuna de la información requerida por parte de los gestores responsables"/>
    <x v="0"/>
    <x v="1"/>
  </r>
  <r>
    <s v="DEBILIDAD"/>
    <x v="2"/>
    <s v="D3: Alta rotación del personal docente de los equipos de autoevaluación y acreditación y Directores de programa"/>
    <x v="1"/>
    <x v="14"/>
  </r>
  <r>
    <s v="DEBILIDAD"/>
    <x v="2"/>
    <s v="D4: Desinformación de la comunidad académica sobre los procesos de registro calificado, acreditación de programas."/>
    <x v="0"/>
    <x v="12"/>
  </r>
  <r>
    <s v="DEBILIDAD"/>
    <x v="2"/>
    <s v="D5. Tiempos limitados en la dedicación académica de los profesores para atender los procesos de autoevaluación, acreditación y registro calificado"/>
    <x v="0"/>
    <x v="1"/>
  </r>
  <r>
    <s v="DEBILIDAD"/>
    <x v="2"/>
    <s v="D6. Falta estudio del contexto para la oferta de programas nuevos"/>
    <x v="2"/>
    <x v="15"/>
  </r>
  <r>
    <s v="DEBILIDAD"/>
    <x v="3"/>
    <s v="D1. Falta de actualización permanente en temas relacionados a la naturaleza del proceso de contratación."/>
    <x v="1"/>
    <x v="16"/>
  </r>
  <r>
    <s v="DEBILIDAD"/>
    <x v="3"/>
    <s v="D2. No es suficiente la asignación del rubro presupuestal para la ejecución de las actividades del presupuesto."/>
    <x v="5"/>
    <x v="11"/>
  </r>
  <r>
    <s v="DEBILIDAD"/>
    <x v="3"/>
    <s v="D3. Falta de un política de modernización permanente del parque automotor."/>
    <x v="2"/>
    <x v="4"/>
  </r>
  <r>
    <s v="DEBILIDAD"/>
    <x v="3"/>
    <s v="D4. Desconocimiento de los bienes con los que cuenta la Universidad y frente a los inmuebles no se ejerce control de los mismo por el distanciamiento que hay de la sede principal de la Universidad."/>
    <x v="3"/>
    <x v="5"/>
  </r>
  <r>
    <s v="DEBILIDAD"/>
    <x v="3"/>
    <s v="D5. Personal Insuficiente y no remunerado de acuerdo a su perfil para las actividades del Proceso."/>
    <x v="1"/>
    <x v="8"/>
  </r>
  <r>
    <s v="DEBILIDAD"/>
    <x v="3"/>
    <s v="D6. El Modelo y los tiempos de contratación directa de la Universidad son demasiado extensos, afectando la Institucionalidad."/>
    <x v="0"/>
    <x v="1"/>
  </r>
  <r>
    <s v="DEBILIDAD"/>
    <x v="3"/>
    <s v="D7. Falta de mecanismos que permitan la localización permanente del parque automotor a disposición de la Comunidad Universitaria."/>
    <x v="4"/>
    <x v="9"/>
  </r>
  <r>
    <s v="DEBILIDAD"/>
    <x v="3"/>
    <s v="D8. La información remitida por los procesos en ocasiones no cumple de manera completa, causando reprocesos en las  actividades. "/>
    <x v="0"/>
    <x v="17"/>
  </r>
  <r>
    <s v="DEBILIDAD"/>
    <x v="3"/>
    <s v="D9. Falta de seguimiento a la ejecución contractual por parte del supervisor."/>
    <x v="3"/>
    <x v="5"/>
  </r>
  <r>
    <s v="DEBILIDAD"/>
    <x v="3"/>
    <s v="D10. Falta de conciliaciones entre Almacen y contabilidad"/>
    <x v="0"/>
    <x v="0"/>
  </r>
  <r>
    <s v="DEBILIDAD"/>
    <x v="3"/>
    <s v="D11. Falta de espacio fisicos para el adecuado almacenaje del archivo documental y los elementos o productos con los que cuenta el proceso "/>
    <x v="4"/>
    <x v="9"/>
  </r>
  <r>
    <s v="DEBILIDAD"/>
    <x v="3"/>
    <s v="D12. Mala clasificación de los bienes"/>
    <x v="1"/>
    <x v="16"/>
  </r>
  <r>
    <s v="DEBILIDAD"/>
    <x v="3"/>
    <s v="D13. Registro no oportuno de los ingresos por las diferentes modalidades"/>
    <x v="0"/>
    <x v="1"/>
  </r>
  <r>
    <s v="DEBILIDAD"/>
    <x v="3"/>
    <s v="D14. Fallas del contratista y/o supervisor durante la ejecución de la orden contractual o contrato."/>
    <x v="0"/>
    <x v="18"/>
  </r>
  <r>
    <s v="DEBILIDAD"/>
    <x v="3"/>
    <s v="D15. Falta de un control eficiente que permita salvaguardar el parque automotor y la Planta Física"/>
    <x v="3"/>
    <x v="5"/>
  </r>
  <r>
    <s v="DEBILIDAD"/>
    <x v="3"/>
    <s v="D16. Traslado de elementos devolutivos sin la debida comunicación con Almacén (ABSr037)"/>
    <x v="0"/>
    <x v="12"/>
  </r>
  <r>
    <s v="DEBILIDAD"/>
    <x v="3"/>
    <s v="D17. Fallas en la inspección de la Planta Física que genera el Cronograma de Mantenimiento de la misma"/>
    <x v="3"/>
    <x v="5"/>
  </r>
  <r>
    <s v="DEBILIDAD"/>
    <x v="3"/>
    <s v="D18. Falta de competencia e idoneidad por parte de algunos supervisores"/>
    <x v="1"/>
    <x v="16"/>
  </r>
  <r>
    <s v="DEBILIDAD"/>
    <x v="4"/>
    <s v="D1. Destinación de Recursos propios para actividades de contratación de personal afectan el desarrollo de actividades propias del proceso."/>
    <x v="5"/>
    <x v="11"/>
  </r>
  <r>
    <s v="DEBILIDAD"/>
    <x v="4"/>
    <s v="D2. La carga operativa del proceso es amplia y no se cuenta con el personal suficiente. (áreas interdisciplinares y psicosociales) "/>
    <x v="1"/>
    <x v="8"/>
  </r>
  <r>
    <s v="DEBILIDAD"/>
    <x v="4"/>
    <s v="D3. Falta de software que se ajuste a las necesidades del proceso (Permanencia y Campos de Aprendizaje)."/>
    <x v="4"/>
    <x v="19"/>
  </r>
  <r>
    <s v="DEBILIDAD"/>
    <x v="4"/>
    <s v="D4. Falta de  infraestructura física y acceso adecuado a la comunidad universitaria para la prestación del Servicio en algunas Seccionales y Extensiones"/>
    <x v="4"/>
    <x v="20"/>
  </r>
  <r>
    <s v="DEBILIDAD"/>
    <x v="4"/>
    <s v="D5. No es suficiente la asignación del rubro presupuestal para la ejecución de las actividades."/>
    <x v="5"/>
    <x v="11"/>
  </r>
  <r>
    <s v="DEBILIDAD"/>
    <x v="4"/>
    <s v="D6. Falta mejorar las Herramientas y aplicaciones de seguimiento y materialización del proceso"/>
    <x v="4"/>
    <x v="10"/>
  </r>
  <r>
    <s v="DEBILIDAD"/>
    <x v="4"/>
    <s v="D7. Horarios de atención en servicios de salud No acordes con las jornadas de la Universidad"/>
    <x v="2"/>
    <x v="15"/>
  </r>
  <r>
    <s v="DEBILIDAD"/>
    <x v="4"/>
    <s v="D8. Profesionales que no cuentan con la capacitación para la atención en primeros auxilios"/>
    <x v="1"/>
    <x v="16"/>
  </r>
  <r>
    <s v="DEBILIDAD"/>
    <x v="4"/>
    <s v="D9. Los equipos de medición del proceso de bienestar universitario no cuentan con mantenimiento y calibración"/>
    <x v="4"/>
    <x v="21"/>
  </r>
  <r>
    <s v="DEBILIDAD"/>
    <x v="5"/>
    <s v="D1. Falta de espacios académicos para la investigación"/>
    <x v="4"/>
    <x v="9"/>
  </r>
  <r>
    <s v="DEBILIDAD"/>
    <x v="5"/>
    <s v="D2. Pocos productos como resultados de Proyectos de investigación"/>
    <x v="3"/>
    <x v="22"/>
  </r>
  <r>
    <s v="DEBILIDAD"/>
    <x v="5"/>
    <s v="D3. No se tiene establecido los parámetros para retirar el aval institucional a: líneas, grupos."/>
    <x v="0"/>
    <x v="23"/>
  </r>
  <r>
    <s v="DEBILIDAD"/>
    <x v="5"/>
    <s v="D4. No cumplir con los tiempos  establecidos para la revisión de solicitudes ante el CDI"/>
    <x v="0"/>
    <x v="1"/>
  </r>
  <r>
    <s v="DEBILIDAD"/>
    <x v="5"/>
    <s v="D5. Manejo de la información en físico"/>
    <x v="6"/>
    <x v="24"/>
  </r>
  <r>
    <s v="DEBILIDAD"/>
    <x v="5"/>
    <s v="D6. Contratos por tiempos cortos de Investigadores y personal administrativo."/>
    <x v="1"/>
    <x v="14"/>
  </r>
  <r>
    <s v="DEBILIDAD"/>
    <x v="5"/>
    <s v="D7. Demora en los procesos administrativos y financieros para el desembolso de los recursos"/>
    <x v="0"/>
    <x v="1"/>
  </r>
  <r>
    <s v="DEBILIDAD"/>
    <x v="5"/>
    <s v="D8. Cambios inesperados en los procedimientos administrativos. "/>
    <x v="0"/>
    <x v="13"/>
  </r>
  <r>
    <s v="DEBILIDAD"/>
    <x v="5"/>
    <s v="D9. No acogerse a los procedimientos establecidos"/>
    <x v="0"/>
    <x v="25"/>
  </r>
  <r>
    <s v="DEBILIDAD"/>
    <x v="5"/>
    <s v="D10. No se reporta la evaluación de Desempeño de las Líneas, Grupos y Semilleros de Investigación por los responsables"/>
    <x v="3"/>
    <x v="5"/>
  </r>
  <r>
    <s v="DEBILIDAD"/>
    <x v="5"/>
    <s v="D11.  No reportan las actualizaciones de integrantes, de grupos, semilleros y proyectos de investigación"/>
    <x v="0"/>
    <x v="12"/>
  </r>
  <r>
    <s v="DEBILIDAD"/>
    <x v="5"/>
    <s v="D12. No cumplimiento de lo pactado en el acta de compromiso de los proyectos de investigación y transferencias de resultados"/>
    <x v="0"/>
    <x v="18"/>
  </r>
  <r>
    <s v="DEBILIDAD"/>
    <x v="5"/>
    <s v="D13. Falta de ejecución de convenios. "/>
    <x v="2"/>
    <x v="15"/>
  </r>
  <r>
    <s v="DEBILIDAD"/>
    <x v="5"/>
    <s v="D14.El proceso carece de  los   Insumos necesarios  para la ejecución de los proyectos."/>
    <x v="4"/>
    <x v="10"/>
  </r>
  <r>
    <s v="DEBILIDAD"/>
    <x v="5"/>
    <s v="D15. Se identifica la necesidad de implementar un Software adecuado el proceso de investigación.  "/>
    <x v="4"/>
    <x v="19"/>
  </r>
  <r>
    <s v="DEBILIDAD"/>
    <x v="5"/>
    <s v="D16. No cumplir con las metas de los objetivos establecidos en el proceso. "/>
    <x v="0"/>
    <x v="18"/>
  </r>
  <r>
    <s v="DEBILIDAD"/>
    <x v="5"/>
    <s v="D17. Realizar investigaciones con equipos sin mantenimiento y/o calibración"/>
    <x v="4"/>
    <x v="21"/>
  </r>
  <r>
    <s v="DEBILIDAD"/>
    <x v="5"/>
    <s v="D18. Desconocimiento del equipo de trabajo de las Políticas Institucionales aprobadas en otros procesos."/>
    <x v="1"/>
    <x v="2"/>
  </r>
  <r>
    <s v="DEBILIDAD"/>
    <x v="5"/>
    <s v="D19. Estrategias que faciliten la conectividad para el personal que se encuentre en modalidad de trabajo en casa. "/>
    <x v="4"/>
    <x v="26"/>
  </r>
  <r>
    <s v="DEBILIDAD"/>
    <x v="5"/>
    <s v="D20. Falta de actualizaciones de los aplicativos tecnológicos con los que cuenta el proceso. "/>
    <x v="4"/>
    <x v="19"/>
  </r>
  <r>
    <s v="DEBILIDAD"/>
    <x v="5"/>
    <s v="D21. No contar con lineamietos de alto nivel para el manejo de los documentos suscritos y que son objeto de verificación por entes de control. "/>
    <x v="0"/>
    <x v="25"/>
  </r>
  <r>
    <s v="DEBILIDAD"/>
    <x v="5"/>
    <s v="D22. Falta de apropiación del conocimiento por parte de la comunidad académica y/o administrativa en relación a metrologia. "/>
    <x v="1"/>
    <x v="6"/>
  </r>
  <r>
    <s v="DEBILIDAD"/>
    <x v="6"/>
    <s v="D1. Inestabilidad laboral relacionada con el modelo de contratación de la Universidad. "/>
    <x v="1"/>
    <x v="14"/>
  </r>
  <r>
    <s v="DEBILIDAD"/>
    <x v="6"/>
    <s v="D2: Equipos insuficientes para la operación del proceso (Cámaras de televisión, micrófonos, luces, trípodes, baterías, teléfonos, almacenamiento de los equipos)"/>
    <x v="4"/>
    <x v="10"/>
  </r>
  <r>
    <s v="DEBILIDAD"/>
    <x v="6"/>
    <s v="D3: El proceso de la Oficina Asesora no cuenta con un servidor propio ni unidades de almacenamiento "/>
    <x v="4"/>
    <x v="19"/>
  </r>
  <r>
    <s v="DEBILIDAD"/>
    <x v="6"/>
    <s v="D4. No se puede contar con el apoyo de pasantes dado que los perfiles académicos no se adaptan a las necesidades del proceso"/>
    <x v="1"/>
    <x v="27"/>
  </r>
  <r>
    <s v="DEBILIDAD"/>
    <x v="6"/>
    <s v="D5: La asignación de recursos financieros para la contratación del personal especializado para el proceso de comunicaciones es limitado, lo que ocasiona una alta rotación del mismo."/>
    <x v="5"/>
    <x v="11"/>
  </r>
  <r>
    <s v="DEBILIDAD"/>
    <x v="6"/>
    <s v="D6. Establecimiento de programas de mantenimiento preventivo para los equipos del proceso"/>
    <x v="2"/>
    <x v="15"/>
  </r>
  <r>
    <s v="DEBILIDAD"/>
    <x v="6"/>
    <s v="D7: Proceso de compras complejo y demorado. "/>
    <x v="0"/>
    <x v="1"/>
  </r>
  <r>
    <s v="DEBILIDAD"/>
    <x v="6"/>
    <s v="D8.Insuficiencia de recursos físicos y económicos para el transporte seguro y oportuno en el cubrimiento de eventos en las diferentes sedes de la Universidad."/>
    <x v="5"/>
    <x v="28"/>
  </r>
  <r>
    <s v="DEBILIDAD"/>
    <x v="6"/>
    <s v="D9. Falta de capacitaciones al talento humano del proceso de comunicaciones en temas que permitan el fortalecimiento de sus competencias técnicas."/>
    <x v="1"/>
    <x v="16"/>
  </r>
  <r>
    <s v="DEBILIDAD"/>
    <x v="6"/>
    <s v="D10. Incumplimiento con los lineamientos del manual en su última versión"/>
    <x v="0"/>
    <x v="18"/>
  </r>
  <r>
    <s v="DEBILIDAD"/>
    <x v="6"/>
    <s v="D11. La cobertura del internet no es optima dentro de las instalaciones"/>
    <x v="4"/>
    <x v="26"/>
  </r>
  <r>
    <s v="DEBILIDAD"/>
    <x v="6"/>
    <s v="D12. Inoportunidad en el suministro de la información y de tiempos establecidos para la producción del servicio requerido."/>
    <x v="0"/>
    <x v="1"/>
  </r>
  <r>
    <s v="DEBILIDAD"/>
    <x v="6"/>
    <s v="D13. Mal funcionamiento de las carteleras digitales en seccionales y extensiones a causa de problemas técnicos"/>
    <x v="4"/>
    <x v="19"/>
  </r>
  <r>
    <s v="DEBILIDAD"/>
    <x v="6"/>
    <s v="D14. Manejo de redes sociales institucionales por parte de los procesos en seccionales y extensiones sin control de imagen institucional dada la necesidad de comunicación inmediata con la comunidad académica como plan de contingencia ante circunstancias de calamidad pública"/>
    <x v="1"/>
    <x v="6"/>
  </r>
  <r>
    <s v="DEBILIDAD"/>
    <x v="6"/>
    <s v="D15. Alto volumen de solicitudes de publicación web lo que ocasiona una alta carga laboral para el proceso"/>
    <x v="1"/>
    <x v="8"/>
  </r>
  <r>
    <s v="DEBILIDAD"/>
    <x v="6"/>
    <s v="D16. Excesivo flujo de información lo que puede generar infoxicación en el equipo de trabajo"/>
    <x v="0"/>
    <x v="17"/>
  </r>
  <r>
    <s v="DEBILIDAD"/>
    <x v="6"/>
    <s v="D17. Falta de organización y estructuración de los archivos y de la información a publicar por parte de los procesos"/>
    <x v="0"/>
    <x v="17"/>
  </r>
  <r>
    <s v="DEBILIDAD"/>
    <x v="6"/>
    <s v="D18. No se cuenta con lenguaje claro en la denominación de los archivos para el sitio web de solicitudes públicas a cotizar"/>
    <x v="0"/>
    <x v="29"/>
  </r>
  <r>
    <s v="DEBILIDAD"/>
    <x v="7"/>
    <s v="D1. No contar con suficiente talento humano para desarrollar las actividades del proceso Dialogando con el Mundo."/>
    <x v="1"/>
    <x v="8"/>
  </r>
  <r>
    <s v="DEBILIDAD"/>
    <x v="7"/>
    <s v="D2. No contar con un espacio físico adecuado a las necesidades del proceso."/>
    <x v="4"/>
    <x v="9"/>
  </r>
  <r>
    <s v="DEBILIDAD"/>
    <x v="7"/>
    <s v="D3. No contar con el acceso a la información financiera, genera inestabilidad en el manejo del rubro. "/>
    <x v="0"/>
    <x v="17"/>
  </r>
  <r>
    <s v="DEBILIDAD"/>
    <x v="7"/>
    <s v="D4. No se cuenta con las horas indirectas en los contratos de los maestros suficiente para la visibilidad institucional,   nacional e internacional de Dialogando con el Mundo (horas Docentes por facultad)."/>
    <x v="1"/>
    <x v="8"/>
  </r>
  <r>
    <s v="DEBILIDAD"/>
    <x v="7"/>
    <s v="D5.Falta de institucionalización de la oficina de relaciones internacionales ORI."/>
    <x v="2"/>
    <x v="30"/>
  </r>
  <r>
    <s v="DEBILIDAD"/>
    <x v="7"/>
    <s v="D6. La Universidad de Cundinamarca al no estar bien posicionada  en el ranking internacional, no es visible como destino académico para estudiantes y docentes.  "/>
    <x v="2"/>
    <x v="31"/>
  </r>
  <r>
    <s v="DEBILIDAD"/>
    <x v="7"/>
    <s v="D7.No contar con articulación en el proceso de investigación y en la oficina de Ciencia, Tecnología e Innovación para generar un sistema internacional para la investigación conjunta."/>
    <x v="0"/>
    <x v="0"/>
  </r>
  <r>
    <s v="DEBILIDAD"/>
    <x v="7"/>
    <s v="D8. No financiamiento de la internacionalización con entes externos. "/>
    <x v="5"/>
    <x v="11"/>
  </r>
  <r>
    <s v="DEBILIDAD"/>
    <x v="7"/>
    <s v="D9. No contar con recursos financieros necesarios para la realizar la movilidad a Europa, Norte América y Asia.(Cambio de moneda no favorece la movilidad a estos continentes)."/>
    <x v="5"/>
    <x v="11"/>
  </r>
  <r>
    <s v="DEBILIDAD"/>
    <x v="7"/>
    <s v="D10. Falta de talento humano que represente el proceso Dialogando con el Mundo en las seccionales y extensiones de la Universidad de Cundinamarca."/>
    <x v="2"/>
    <x v="30"/>
  </r>
  <r>
    <s v="DEBILIDAD"/>
    <x v="7"/>
    <s v="D11. Faltan lineamientos que permitan la doble titulación en conjunto con las instituciones del exterior e internamente."/>
    <x v="2"/>
    <x v="15"/>
  </r>
  <r>
    <s v="DEBILIDAD"/>
    <x v="7"/>
    <s v="D12. Demora en los procesos de contratación del talento humano. "/>
    <x v="1"/>
    <x v="14"/>
  </r>
  <r>
    <s v="DEBILIDAD"/>
    <x v="7"/>
    <s v="D13. No se cuenta con un perfil docente calificado para afrontar retos multilingües con base en proyectos de internacionalización en el currículo. "/>
    <x v="1"/>
    <x v="16"/>
  </r>
  <r>
    <s v="DEBILIDAD"/>
    <x v="7"/>
    <s v="D14. Falta de cultura académica en materia de internacionalización en casa. "/>
    <x v="0"/>
    <x v="13"/>
  </r>
  <r>
    <s v="DEBILIDAD"/>
    <x v="7"/>
    <s v="D15. Presupuesto limitado para gestión de la internacionalización en la UCundinamarca."/>
    <x v="5"/>
    <x v="11"/>
  </r>
  <r>
    <s v="DEBILIDAD"/>
    <x v="8"/>
    <s v="D1. Alta rotación de personal, lo que genera poco conocimiento de la entidad y sus procesos así como poco compromiso con el desarrollo de la gestión. "/>
    <x v="1"/>
    <x v="14"/>
  </r>
  <r>
    <s v="DEBILIDAD"/>
    <x v="8"/>
    <s v="D2. El modelo y los tiempos de contratación de la universidad es ineficiente"/>
    <x v="0"/>
    <x v="1"/>
  </r>
  <r>
    <s v="DEBILIDAD"/>
    <x v="8"/>
    <s v="D3. Falta de compromiso y apoyo en la labor preventiva que realiza la oficina, lo que se traduce en inasistencia a los eventos de capacitación."/>
    <x v="1"/>
    <x v="6"/>
  </r>
  <r>
    <s v="DEBILIDAD"/>
    <x v="8"/>
    <s v="D4. Faltan convenios que permitan mejorar las relaciones internas y externas del proceso."/>
    <x v="2"/>
    <x v="30"/>
  </r>
  <r>
    <s v="DEBILIDAD"/>
    <x v="8"/>
    <s v="D5. Se desconocen las necesidades de la comunidad académica y partes interesadas."/>
    <x v="2"/>
    <x v="4"/>
  </r>
  <r>
    <s v="DEBILIDAD"/>
    <x v="8"/>
    <s v="D6. No se han aplicado procesos de capacitación o inducción para el fortalecimiento de competencias laborales de los funcionarios."/>
    <x v="1"/>
    <x v="32"/>
  </r>
  <r>
    <s v="DEBILIDAD"/>
    <x v="8"/>
    <s v="D7. No se generan ambientes propicios para la innovación y aprendizaje continuo de los funcionarios."/>
    <x v="7"/>
    <x v="33"/>
  </r>
  <r>
    <s v="DEBILIDAD"/>
    <x v="8"/>
    <s v="D8. El proceso no cuenta con mediciones que garanticen el bienestar de los funcionarios en el puesto de trabajo."/>
    <x v="3"/>
    <x v="34"/>
  </r>
  <r>
    <s v="DEBILIDAD"/>
    <x v="8"/>
    <s v="D9. No cumplimiento del personal interno o externo frente a las diligencias citadas dentro de los procesos disciplinarios."/>
    <x v="1"/>
    <x v="6"/>
  </r>
  <r>
    <s v="DEBILIDAD"/>
    <x v="9"/>
    <s v="D1. No hay suficiente capacidad instalada para atender las necesidades de la Universidad."/>
    <x v="4"/>
    <x v="9"/>
  </r>
  <r>
    <s v="DEBILIDAD"/>
    <x v="9"/>
    <s v="D2. Falta de sistematización en la Oficina."/>
    <x v="0"/>
    <x v="35"/>
  </r>
  <r>
    <s v="DEBILIDAD"/>
    <x v="9"/>
    <s v="D3.Deficiente  infraestructura Tecnológica para el desarrollo eficaz de las actividades del proceso."/>
    <x v="4"/>
    <x v="19"/>
  </r>
  <r>
    <s v="DEBILIDAD"/>
    <x v="9"/>
    <s v="D4. No identificación oportuna  de cambios normativos."/>
    <x v="0"/>
    <x v="13"/>
  </r>
  <r>
    <s v="DEBILIDAD"/>
    <x v="9"/>
    <s v="D5. Debilidad de conocimiento respecto a los nuevos sistemas, modelos, normatividad adoptados por la Universidad de Cundinamarca."/>
    <x v="1"/>
    <x v="6"/>
  </r>
  <r>
    <s v="DEBILIDAD"/>
    <x v="9"/>
    <s v="D6.Falta de entrega oportuna de  información por parte de los procesos para las actividades propias del proceso."/>
    <x v="0"/>
    <x v="1"/>
  </r>
  <r>
    <s v="DEBILIDAD"/>
    <x v="9"/>
    <s v="D7. Perdida de información clave del proceso."/>
    <x v="0"/>
    <x v="29"/>
  </r>
  <r>
    <s v="DEBILIDAD"/>
    <x v="9"/>
    <s v="D8. Falta de cobertura  de funcionarios  del proceso en seccionales  y extensiones."/>
    <x v="1"/>
    <x v="8"/>
  </r>
  <r>
    <s v="DEBILIDAD"/>
    <x v="9"/>
    <s v="D9. Entrega de Información sin los parámetros establecidos de Confiabilidad, Veracidad, Calidad .( Firmas, Fechas, versiones actualizadas o cantidad de documentos entregables.) "/>
    <x v="0"/>
    <x v="17"/>
  </r>
  <r>
    <s v="DEBILIDAD"/>
    <x v="9"/>
    <s v="D10.No se cuenta con adaptación de infraestructura en temas de inclusión  ."/>
    <x v="4"/>
    <x v="9"/>
  </r>
  <r>
    <s v="DEBILIDAD"/>
    <x v="9"/>
    <s v="D11. No se cuenta con estrategias que fomenten la inclusión dentro de las actividades de los procedimientos del proceso. "/>
    <x v="2"/>
    <x v="4"/>
  </r>
  <r>
    <s v="DEBILIDAD"/>
    <x v="9"/>
    <s v="D12. Falta de definición en la clasificación de los hallazgos. "/>
    <x v="3"/>
    <x v="5"/>
  </r>
  <r>
    <s v="DEBILIDAD"/>
    <x v="10"/>
    <s v="D1. Rotación constante de personal de término fijo y OPS."/>
    <x v="1"/>
    <x v="14"/>
  </r>
  <r>
    <s v="DEBILIDAD"/>
    <x v="10"/>
    <s v="D2. Falta de articulación e interacción con los demás Procesos de la Universidad."/>
    <x v="0"/>
    <x v="0"/>
  </r>
  <r>
    <s v="DEBILIDAD"/>
    <x v="10"/>
    <s v="D3. Falta de capacitación en la implementación de nuevas herramientas tecnológicas y nuevas metodologías al personal de la Dirección."/>
    <x v="1"/>
    <x v="32"/>
  </r>
  <r>
    <s v="DEBILIDAD"/>
    <x v="10"/>
    <s v="D4. Falta oportunidad en soporte técnico y mantenimiento de equipos."/>
    <x v="4"/>
    <x v="21"/>
  </r>
  <r>
    <s v="DEBILIDAD"/>
    <x v="10"/>
    <s v="D5. El modelo y los tiempos de contratación de la Universidad es ineficiente."/>
    <x v="0"/>
    <x v="1"/>
  </r>
  <r>
    <s v="DEBILIDAD"/>
    <x v="10"/>
    <s v="D6. Proyección sobredimensionada de la meta de presupuesto anual, sin contemplar la naturaleza de la Dirección de Proyectos Especiales y Relaciones Interinstitucionales."/>
    <x v="2"/>
    <x v="4"/>
  </r>
  <r>
    <s v="DEBILIDAD"/>
    <x v="10"/>
    <s v="D7. Usualmente no se puede dar cabal cumplimiento al cronograma de mantenimiento de equipos, por dificultades en el desplazamiento del personal de sistemas; así mismo, cuando se presentan fallas en la prestación del servicio de Internet, al consultar al área de sistemas argumentan que tienen otras prioridades. "/>
    <x v="5"/>
    <x v="28"/>
  </r>
  <r>
    <s v="DEBILIDAD"/>
    <x v="10"/>
    <s v="D8. No se cuenta con la capacidad suficiente de personal para atender las necesidades del proceso."/>
    <x v="1"/>
    <x v="8"/>
  </r>
  <r>
    <s v="DEBILIDAD"/>
    <x v="11"/>
    <s v="D1. Recurso humano insuficiente para la operación del Proceso. "/>
    <x v="1"/>
    <x v="8"/>
  </r>
  <r>
    <s v="DEBILIDAD"/>
    <x v="11"/>
    <s v="D2. Equipo tecnológico insuficiente para la operación del proceso. (Seccionales)"/>
    <x v="4"/>
    <x v="36"/>
  </r>
  <r>
    <s v="DEBILIDAD"/>
    <x v="11"/>
    <s v="D3. Falta la adquisición de un software de Administración Documental en la Universidad."/>
    <x v="4"/>
    <x v="19"/>
  </r>
  <r>
    <s v="DEBILIDAD"/>
    <x v="11"/>
    <s v="D4. Falta de oportunidad en el servicio de transporte para transferencias documentales."/>
    <x v="4"/>
    <x v="37"/>
  </r>
  <r>
    <s v="DEBILIDAD"/>
    <x v="11"/>
    <s v="D5. Incumplimiento a la resolución 161 de Agosto de 2016,  la cual da la directriz para la radicación de documentos."/>
    <x v="0"/>
    <x v="25"/>
  </r>
  <r>
    <s v="DEBILIDAD"/>
    <x v="11"/>
    <s v="D6. Limitación en la promoción del personal dentro del Proceso."/>
    <x v="7"/>
    <x v="33"/>
  </r>
  <r>
    <s v="DEBILIDAD"/>
    <x v="11"/>
    <s v="D7. Hackers Informáticos internos "/>
    <x v="4"/>
    <x v="19"/>
  </r>
  <r>
    <s v="DEBILIDAD"/>
    <x v="11"/>
    <s v="D8. Vulnerabilidad de la información digital."/>
    <x v="4"/>
    <x v="19"/>
  </r>
  <r>
    <s v="DEBILIDAD"/>
    <x v="11"/>
    <s v="D9. Malas practicas archivisticas por las condiciones inseguras en el manejo del mismo a falta de elementos de proteccion "/>
    <x v="1"/>
    <x v="6"/>
  </r>
  <r>
    <s v="DEBILIDAD"/>
    <x v="11"/>
    <s v="D10. Se generan reprocesos en las actividades articuladas con otros procesos"/>
    <x v="0"/>
    <x v="0"/>
  </r>
  <r>
    <s v="DEBILIDAD"/>
    <x v="11"/>
    <s v="D11. No se cuenta con actividades programadas de sensibilización y preparación para atender a la comunidad que presenta condiciones especiales"/>
    <x v="2"/>
    <x v="15"/>
  </r>
  <r>
    <s v="DEBILIDAD"/>
    <x v="11"/>
    <s v="D12. No contar con el edificio para el archivo central de conformidad con la normatividad (Acuerdo 042 de 2002 y 037 de 2002)"/>
    <x v="4"/>
    <x v="9"/>
  </r>
  <r>
    <s v="DEBILIDAD"/>
    <x v="11"/>
    <s v="D13. Capacitación insuficiente en temas a fines del proceso"/>
    <x v="1"/>
    <x v="32"/>
  </r>
  <r>
    <s v="DEBILIDAD"/>
    <x v="11"/>
    <s v="D14. No garantizar la custodia del archivo acorde con los tiempos establecidos en las tablas de retención documental"/>
    <x v="0"/>
    <x v="1"/>
  </r>
  <r>
    <s v="DEBILIDAD"/>
    <x v="11"/>
    <s v="D15. Falta de control en los roles administrativos en la creación de nuevos usuarios en el aplicativo Hermesoft 3.2 &quot;aplicativo de correspondencia&quot; (Aplicativo de la Universidad de Pamplona)"/>
    <x v="3"/>
    <x v="5"/>
  </r>
  <r>
    <s v="DEBILIDAD"/>
    <x v="11"/>
    <s v="D16. No disponer del archivo físico para la oportuna respuesta de solicitudes"/>
    <x v="4"/>
    <x v="9"/>
  </r>
  <r>
    <s v="DEBILIDAD"/>
    <x v="11"/>
    <s v="D17. Eliminación de documentos físicos o digitales por parte de las diferentes áreas"/>
    <x v="0"/>
    <x v="29"/>
  </r>
  <r>
    <s v="DEBILIDAD"/>
    <x v="12"/>
    <s v="D1 Espacios físicos insuficientes para el desarrollo de las actividades rutinarias del proceso"/>
    <x v="4"/>
    <x v="9"/>
  </r>
  <r>
    <s v="DEBILIDAD"/>
    <x v="12"/>
    <s v="D2. Identificación y aplicación de la normatividad legal vigente desde su publicación."/>
    <x v="0"/>
    <x v="25"/>
  </r>
  <r>
    <s v="DEBILIDAD"/>
    <x v="12"/>
    <s v="D3. Incumplimiento en pagos, por no ejercer la operación, debido a  bloqueos producto de paros o asonadas  en la Universidad de Cundinamarca."/>
    <x v="0"/>
    <x v="23"/>
  </r>
  <r>
    <s v="DEBILIDAD"/>
    <x v="12"/>
    <s v="D4. Desconocimiento de la información por falta de socialización de los procesos responsables del cambio de la normatividad interna."/>
    <x v="0"/>
    <x v="12"/>
  </r>
  <r>
    <s v="DEBILIDAD"/>
    <x v="12"/>
    <s v="D5.  Falta implementar mecanismos que mejoren la conectividad en las contingencias que se puedan llegar a presentar por eventos inesperados, los cuales puedan afectar la prestación normal del servicio, en modalidad presencial, teletrabajo o trabajo desde casa. (Equipos, Internet, software, hardware)"/>
    <x v="4"/>
    <x v="26"/>
  </r>
  <r>
    <s v="DEBILIDAD"/>
    <x v="12"/>
    <s v="D6. No se cuenta con software en línea  que permita la comunicación de todos los procesos internos y externos "/>
    <x v="4"/>
    <x v="19"/>
  </r>
  <r>
    <s v="DEBILIDAD"/>
    <x v="12"/>
    <s v="D7. No se cuenta con herramientas digitales en línea para realizar seguimiento a los tramites radicados por las Partes interesadas."/>
    <x v="4"/>
    <x v="19"/>
  </r>
  <r>
    <s v="DEBILIDAD"/>
    <x v="12"/>
    <s v="D8. No se cuenta con la practica de uso de las firmas digitales que ayuden a gestionar de forma  ágil los tramites. "/>
    <x v="1"/>
    <x v="6"/>
  </r>
  <r>
    <s v="DEBILIDAD"/>
    <x v="12"/>
    <s v="D9. No se cuenta con el personal suficiente para la ejecución normal de las actividades de la oficina de contabilidad."/>
    <x v="1"/>
    <x v="8"/>
  </r>
  <r>
    <s v="DEBILIDAD"/>
    <x v="12"/>
    <s v="D10. Incumplimiento de los supervisores en las directrices establecidas en el manual de contratación, lo cual  afecta los resultados  del proceso financiero, debido a los reprocesos que se deben realizar.."/>
    <x v="0"/>
    <x v="25"/>
  </r>
  <r>
    <s v="DEBILIDAD"/>
    <x v="12"/>
    <s v="D11. Realizar duplicidad de pagos o demora  en los pagos por falta de controles oportunos que permitan identificar la trazabilidad de radicación por correo electrónico."/>
    <x v="3"/>
    <x v="5"/>
  </r>
  <r>
    <s v="DEBILIDAD"/>
    <x v="12"/>
    <s v="D12. Se radican cuentas de carácter urgente después de la 6pm lo cual impide dar respuesta oportuna a las solicitudes."/>
    <x v="0"/>
    <x v="1"/>
  </r>
  <r>
    <s v="DEBILIDAD"/>
    <x v="12"/>
    <s v="D13. Información radicada virtualmente sin los parámetros establecidos legales y de calidad           ( documentos originales sin firmas; pagos de seguridad social falsificados, soportes incompletos)"/>
    <x v="0"/>
    <x v="17"/>
  </r>
  <r>
    <s v="DEBILIDAD"/>
    <x v="12"/>
    <s v="D14. Falta de actualización de la información documentada del proceso y la continuidad en la aplicación de los nuevos controles y prácticas establecidas. Hallazgo 16"/>
    <x v="0"/>
    <x v="29"/>
  </r>
  <r>
    <s v="DEBILIDAD"/>
    <x v="12"/>
    <s v="D15. No considerar las acciones de mejora para mitigar el impacto de incumplimiento en metas establecidas en los indicadores. Hallazgo 17"/>
    <x v="2"/>
    <x v="15"/>
  </r>
  <r>
    <s v="DEBILIDAD"/>
    <x v="12"/>
    <s v="D16. No se realizo planificación para priorizar las actividades laborales para el trabajo desde casa, lo cual genero (sobre carga laboral y estrés en los funcionarios)."/>
    <x v="7"/>
    <x v="33"/>
  </r>
  <r>
    <s v="DEBILIDAD"/>
    <x v="13"/>
    <s v="D1. Insuficiente recurso financiero para la vinculación de talento humano para la gestión de los procesos"/>
    <x v="5"/>
    <x v="11"/>
  </r>
  <r>
    <s v="DEBILIDAD"/>
    <x v="13"/>
    <s v="D2. Insuficiente seguimiento al proceso de evaluación de desempeño docente"/>
    <x v="3"/>
    <x v="5"/>
  </r>
  <r>
    <s v="DEBILIDAD"/>
    <x v="13"/>
    <s v="D3. Reducir índices de repitencia y de graduación tardía"/>
    <x v="2"/>
    <x v="4"/>
  </r>
  <r>
    <s v="DEBILIDAD"/>
    <x v="13"/>
    <s v="D4. El número de profesores de planta incide en los procesos de registro calificado y acreditación de alta calidad"/>
    <x v="1"/>
    <x v="8"/>
  </r>
  <r>
    <s v="DEBILIDAD"/>
    <x v="13"/>
    <s v="D5. Falta de articulación entre los programas de pregrado y postgrado en procesos académicos"/>
    <x v="0"/>
    <x v="0"/>
  </r>
  <r>
    <s v="DEBILIDAD"/>
    <x v="13"/>
    <s v="D6. Insuficiente apoyo institucional para los planes de mejoramiento derivados de los ejercicios de autoevaluación"/>
    <x v="1"/>
    <x v="6"/>
  </r>
  <r>
    <s v="DEBILIDAD"/>
    <x v="13"/>
    <s v="D7. Currículos y planes de estudio que requieren actualización."/>
    <x v="0"/>
    <x v="29"/>
  </r>
  <r>
    <s v="DEBILIDAD"/>
    <x v="13"/>
    <s v="D8. Procesos investigativos desarticulados con las líneas de investigación institucional (Postgrados)"/>
    <x v="0"/>
    <x v="0"/>
  </r>
  <r>
    <s v="DEBILIDAD"/>
    <x v="13"/>
    <s v="D9. Bajos ingresos por  concepto de matriculas en los programas de especialización y maestrías (Descuentos aplicados, decrecimiento en el número de estudiantes y número mínimo de estudiantes para cumplir el punto de equilibrio)"/>
    <x v="5"/>
    <x v="11"/>
  </r>
  <r>
    <s v="DEBILIDAD"/>
    <x v="13"/>
    <s v="D10. Baja protección, disponibilidad, custodia e integridad de la información física y digital en las áreas que conforman el proceso de Formación y Aprendizaje"/>
    <x v="0"/>
    <x v="17"/>
  </r>
  <r>
    <s v="DEBILIDAD"/>
    <x v="13"/>
    <s v="D11. La opción de grado de semestre avanzado en postgrados sin continuidad ni culminación del programa."/>
    <x v="0"/>
    <x v="23"/>
  </r>
  <r>
    <s v="DEBILIDAD"/>
    <x v="13"/>
    <s v="D12. Falta de una política institucional para ofrecer descuentos en convenios suscritos (postgrados)"/>
    <x v="2"/>
    <x v="4"/>
  </r>
  <r>
    <s v="DEBILIDAD"/>
    <x v="13"/>
    <s v="D13. No se cuenta con un portafolio de opciones de pago y de financiamiento para los programas de postgrados"/>
    <x v="2"/>
    <x v="15"/>
  </r>
  <r>
    <s v="DEBILIDAD"/>
    <x v="13"/>
    <s v="D14. No hay publicidad sobre los programas de postgrados"/>
    <x v="0"/>
    <x v="12"/>
  </r>
  <r>
    <s v="DEBILIDAD"/>
    <x v="13"/>
    <s v="D15. Entrega de información incompleta para la creación de cursos virtuales"/>
    <x v="0"/>
    <x v="17"/>
  </r>
  <r>
    <s v="DEBILIDAD"/>
    <x v="13"/>
    <s v="D16. Falta de estrategias para el almacenamiento de los contenidos desarrollados en los cursos y aulas virtuales"/>
    <x v="2"/>
    <x v="15"/>
  </r>
  <r>
    <s v="DEBILIDAD"/>
    <x v="13"/>
    <s v="D17. Retrasos en la entrega de los cursos o aulas virtuales a los programas académicos"/>
    <x v="0"/>
    <x v="1"/>
  </r>
  <r>
    <s v="DEBILIDAD"/>
    <x v="13"/>
    <s v="D18. Equipos inadecuados para la operación de las diferentes dependencias del proceso de Formación y Aprendizaje"/>
    <x v="4"/>
    <x v="10"/>
  </r>
  <r>
    <s v="DEBILIDAD"/>
    <x v="13"/>
    <s v="D19. No se cuenta con una definición de directrices sobre los procesos de contratación con entidades extranjeras"/>
    <x v="2"/>
    <x v="4"/>
  </r>
  <r>
    <s v="DEBILIDAD"/>
    <x v="13"/>
    <s v="D20. Falta de socialización sobre las estrategias de inclusión en la producción de contenido y la atención que se brinda a las partes interesadas del proceso de Formación y Aprendizaje"/>
    <x v="0"/>
    <x v="12"/>
  </r>
  <r>
    <s v="DEBILIDAD"/>
    <x v="13"/>
    <s v="D21. Sistematización oportuna de la información en las  horas aprobadas del componente CTI para los docentes"/>
    <x v="0"/>
    <x v="35"/>
  </r>
  <r>
    <s v="DEBILIDAD"/>
    <x v="13"/>
    <s v="D22. Deficiencias en los procesos de evaluación a docentes a causa de los tiempos de vinculación en la plataforma por el tipo de contratación (Postgrados)"/>
    <x v="0"/>
    <x v="1"/>
  </r>
  <r>
    <s v="DEBILIDAD"/>
    <x v="13"/>
    <s v="D23. Insuficiencia de parámetros para la articulación de información de estudiantes y docentes en los sistemas de información de la institución."/>
    <x v="0"/>
    <x v="0"/>
  </r>
  <r>
    <s v="DEBILIDAD"/>
    <x v="13"/>
    <s v="D24. Falta de un proceso de retroalimentación en relación con cursos virtuales de la institución"/>
    <x v="0"/>
    <x v="23"/>
  </r>
  <r>
    <s v="DEBILIDAD"/>
    <x v="13"/>
    <s v="D25. Falta de un proceso de retroalimentación a nivel técnico en relación con la plataforma en gestión de aprendizaje"/>
    <x v="1"/>
    <x v="32"/>
  </r>
  <r>
    <s v="DEBILIDAD"/>
    <x v="13"/>
    <s v="D26. Insuficiencia en la implementación de estrategias de mercadeo como campañas de promoción y divulgación"/>
    <x v="2"/>
    <x v="15"/>
  </r>
  <r>
    <s v="DEBILIDAD"/>
    <x v="13"/>
    <s v="D27. Falta de articulación de los procedimientos, instructivos y formatos con la normatividad interna vigente"/>
    <x v="0"/>
    <x v="29"/>
  </r>
  <r>
    <s v="DEBILIDAD"/>
    <x v="13"/>
    <s v="D28. No utilización de los recursos virtuales designados a los docentes"/>
    <x v="1"/>
    <x v="6"/>
  </r>
  <r>
    <s v="DEBILIDAD"/>
    <x v="13"/>
    <s v="D29. No utilización de los recursos virtuales producidos para las facultades"/>
    <x v="4"/>
    <x v="19"/>
  </r>
  <r>
    <s v="DEBILIDAD"/>
    <x v="13"/>
    <s v="D30. Falta de recursos para la inversión en el mejoramiento de la infraestructura"/>
    <x v="5"/>
    <x v="11"/>
  </r>
  <r>
    <s v="DEBILIDAD"/>
    <x v="13"/>
    <s v="D31. Talento humano insuficiente que cubra las necesidades de funcionamiento"/>
    <x v="1"/>
    <x v="8"/>
  </r>
  <r>
    <s v="DEBILIDAD"/>
    <x v="13"/>
    <s v="D32. Ausencia de un director con un perfil gerencial que asuma las funciones administrativas y venta de servicios del CAD con dedicación exclusiva"/>
    <x v="1"/>
    <x v="38"/>
  </r>
  <r>
    <s v="DEBILIDAD"/>
    <x v="13"/>
    <s v="D33. Vulnerabilidad del CAD frente al tema de seguridad"/>
    <x v="4"/>
    <x v="20"/>
  </r>
  <r>
    <s v="DEBILIDAD"/>
    <x v="13"/>
    <s v="D34. La meta financiera no corresponde con la posibilidad real de venta de servicios"/>
    <x v="2"/>
    <x v="15"/>
  </r>
  <r>
    <s v="DEBILIDAD"/>
    <x v="13"/>
    <s v="D35. No hay directrices administrativas y financieras definidas para el CAD"/>
    <x v="2"/>
    <x v="4"/>
  </r>
  <r>
    <s v="DEBILIDAD"/>
    <x v="13"/>
    <s v="D36. Carencia de un diagnostico real de las instalaciones de acueducto, alcantarillado y energía"/>
    <x v="4"/>
    <x v="9"/>
  </r>
  <r>
    <s v="DEBILIDAD"/>
    <x v="13"/>
    <s v="D37. No contar con la disponibilidad permanente de los escenarios para la venta de servicios"/>
    <x v="2"/>
    <x v="31"/>
  </r>
  <r>
    <s v="DEBILIDAD"/>
    <x v="13"/>
    <s v="D38. Daños materiales en los escenarios"/>
    <x v="4"/>
    <x v="9"/>
  </r>
  <r>
    <s v="DEBILIDAD"/>
    <x v="13"/>
    <s v="D39. No contar con un representante de postgrados en los diferentes comités y cuerpo colegiados"/>
    <x v="1"/>
    <x v="27"/>
  </r>
  <r>
    <s v="DEBILIDAD"/>
    <x v="14"/>
    <s v="D1. Funciones asignadas mas no documentadas."/>
    <x v="0"/>
    <x v="23"/>
  </r>
  <r>
    <s v="DEBILIDAD"/>
    <x v="14"/>
    <s v="D2. Falta fortalecer aspectos relacionados al cumplimiento de las politicas misionales "/>
    <x v="2"/>
    <x v="4"/>
  </r>
  <r>
    <s v="DEBILIDAD"/>
    <x v="14"/>
    <s v="D3. Dificultad en la comunicación y visibilidad con seccionales y extensiones."/>
    <x v="0"/>
    <x v="12"/>
  </r>
  <r>
    <s v="DEBILIDAD"/>
    <x v="14"/>
    <s v="D4. Falta de articulación con todos los Procesos que pueda llevar al no cumplimiento oportuno de las actividades"/>
    <x v="0"/>
    <x v="0"/>
  </r>
  <r>
    <s v="DEBILIDAD"/>
    <x v="14"/>
    <s v="D5.  El proceso aún no está sistematizado."/>
    <x v="0"/>
    <x v="35"/>
  </r>
  <r>
    <s v="DEBILIDAD"/>
    <x v="14"/>
    <s v="D6. Falta de actualización del portafolio de cursos y diplomados"/>
    <x v="0"/>
    <x v="29"/>
  </r>
  <r>
    <s v="DEBILIDAD"/>
    <x v="15"/>
    <s v="D1. Alta Rotación de Personal."/>
    <x v="1"/>
    <x v="14"/>
  </r>
  <r>
    <s v="DEBILIDAD"/>
    <x v="15"/>
    <s v="D2. Falta de articulación con todos los Procesos."/>
    <x v="0"/>
    <x v="0"/>
  </r>
  <r>
    <s v="DEBILIDAD"/>
    <x v="15"/>
    <s v="D3. Falta de asignación de actividades. "/>
    <x v="1"/>
    <x v="38"/>
  </r>
  <r>
    <s v="DEBILIDAD"/>
    <x v="15"/>
    <s v="D4. Se presentan reprocesos por el no acatamiento de los tiempos de operación por otras partes interesadas que solicitan apoyo a la dirección Jurídica."/>
    <x v="0"/>
    <x v="1"/>
  </r>
  <r>
    <s v="DEBILIDAD"/>
    <x v="15"/>
    <s v="D5. El no cumplimiento de los procesos o que estos no brinden soluciones agiles."/>
    <x v="0"/>
    <x v="23"/>
  </r>
  <r>
    <s v="DEBILIDAD"/>
    <x v="15"/>
    <s v="D6. El proceso no cuenta con estrategias que garanticen el fortalecimiento de las relaciones humanas  de cara con el ambiente laboral"/>
    <x v="2"/>
    <x v="15"/>
  </r>
  <r>
    <s v="DEBILIDAD"/>
    <x v="15"/>
    <s v="D7. Escases de sistemas de información, pues no están cubiertos los procesos judiciales y extrajudiciales."/>
    <x v="4"/>
    <x v="19"/>
  </r>
  <r>
    <s v="DEBILIDAD"/>
    <x v="15"/>
    <s v="D8. Falta un adecuado control de la información en el proceso"/>
    <x v="0"/>
    <x v="17"/>
  </r>
  <r>
    <s v="DEBILIDAD"/>
    <x v="15"/>
    <s v="D9. Falta asegurar la gestión del conocimiento en el proceso. "/>
    <x v="1"/>
    <x v="2"/>
  </r>
  <r>
    <s v="DEBILIDAD"/>
    <x v="15"/>
    <s v="D10. No hay un plan de capacitación para los contratistas en temas generales, específicos de cargo y en tema de inclusión."/>
    <x v="1"/>
    <x v="32"/>
  </r>
  <r>
    <s v="DEBILIDAD"/>
    <x v="16"/>
    <s v="D1. Dificultades para la obtención de información veraz, actualizada y confiable"/>
    <x v="0"/>
    <x v="17"/>
  </r>
  <r>
    <s v="DEBILIDAD"/>
    <x v="16"/>
    <s v="D2. Falta de Articulación con la Planeación Académica y políticas misionales que se desarrollan en la Institución"/>
    <x v="0"/>
    <x v="0"/>
  </r>
  <r>
    <s v="DEBILIDAD"/>
    <x v="16"/>
    <s v="D3. No hay suficiente capacidad instalada para atender las necesidades de la Universidad"/>
    <x v="4"/>
    <x v="9"/>
  </r>
  <r>
    <s v="DEBILIDAD"/>
    <x v="16"/>
    <s v="D4. Retrasos en la Información solicitada a los procesos."/>
    <x v="0"/>
    <x v="1"/>
  </r>
  <r>
    <s v="DEBILIDAD"/>
    <x v="16"/>
    <s v="D5. Falta de actualización de la documentación del proceso con el fin de abordar los lineamientos de la Política de Inclusión"/>
    <x v="0"/>
    <x v="29"/>
  </r>
  <r>
    <s v="DEBILIDAD"/>
    <x v="16"/>
    <s v="D6. No contar con la información necesaria como elemento de entrada para la Revisión por la Dirección"/>
    <x v="0"/>
    <x v="17"/>
  </r>
  <r>
    <s v="DEBILIDAD"/>
    <x v="16"/>
    <s v="D6. Las modalidades de Contratación con las que cuenta el proceso, impiden que se realicen procesos de capacitación e inducción a los funcionarios para el desarrollo sus competencias laborales."/>
    <x v="0"/>
    <x v="23"/>
  </r>
  <r>
    <s v="DEBILIDAD"/>
    <x v="16"/>
    <s v="D7. Falta de herramientas que permitan asegurar la confiabilidad de los datos"/>
    <x v="4"/>
    <x v="19"/>
  </r>
  <r>
    <s v="DEBILIDAD"/>
    <x v="16"/>
    <s v="D8. Falta de cumplimiento en algunos Lineamientos de acreditación de programas e institucional."/>
    <x v="1"/>
    <x v="6"/>
  </r>
  <r>
    <s v="DEBILIDAD"/>
    <x v="16"/>
    <s v="D9. Estructura y lineamientos de los Sistemas de Gestión no se encuentran articulados."/>
    <x v="0"/>
    <x v="0"/>
  </r>
  <r>
    <s v="DEBILIDAD"/>
    <x v="17"/>
    <s v="D1. Demora en los tiempos de respuesta por parte de las dependencias"/>
    <x v="0"/>
    <x v="1"/>
  </r>
  <r>
    <s v="DEBILIDAD"/>
    <x v="17"/>
    <s v="D2. Se presenta alta rotación de los funcionarios en la institución"/>
    <x v="1"/>
    <x v="14"/>
  </r>
  <r>
    <s v="DEBILIDAD"/>
    <x v="17"/>
    <s v="D3. Instalaciones Locativas insuficientes en seccionales y extensiones"/>
    <x v="4"/>
    <x v="9"/>
  </r>
  <r>
    <s v="DEBILIDAD"/>
    <x v="17"/>
    <s v="D4. Falta de claridad en las respuestas dadas por los procesos competentes"/>
    <x v="0"/>
    <x v="12"/>
  </r>
  <r>
    <s v="DEBILIDAD"/>
    <x v="17"/>
    <s v="D5. El modelo y los tiempos de contratación de la universidad son demorados"/>
    <x v="0"/>
    <x v="1"/>
  </r>
  <r>
    <s v="DEBILIDAD"/>
    <x v="17"/>
    <s v="D6. Dependencia de los usuarios al clasificar la solicitud."/>
    <x v="0"/>
    <x v="17"/>
  </r>
  <r>
    <s v="DEBILIDAD"/>
    <x v="17"/>
    <s v="D7. Dependencia de otros procesos para tomar acciones frente a las PQRS impuestas a la Universidad de Cundinamarca"/>
    <x v="0"/>
    <x v="0"/>
  </r>
  <r>
    <s v="DEBILIDAD"/>
    <x v="17"/>
    <s v="D8. Falta de toma de conciencia y conocimiento en la responsabilidad cuando se da respuesta a las PQRS"/>
    <x v="1"/>
    <x v="6"/>
  </r>
  <r>
    <s v="DEBILIDAD"/>
    <x v="17"/>
    <s v="D9.Falta de adaptabilidad del aplicativo de PQRSFYD para la población con discapacidad."/>
    <x v="4"/>
    <x v="19"/>
  </r>
  <r>
    <s v="DEBILIDAD"/>
    <x v="17"/>
    <s v="D10. Personal insuficiente para el desarrollo de las actividades del proceso."/>
    <x v="1"/>
    <x v="8"/>
  </r>
  <r>
    <s v="DEBILIDAD"/>
    <x v="17"/>
    <s v="D11. El sistema no permite reclasificar las peticiones "/>
    <x v="4"/>
    <x v="19"/>
  </r>
  <r>
    <s v="DEBILIDAD"/>
    <x v="18"/>
    <s v="D1. No contar con suficientes herramientas tecnológicas que permitan dar respuesta a necesidades dentro del proceso (aplicativos)"/>
    <x v="4"/>
    <x v="19"/>
  </r>
  <r>
    <s v="DEBILIDAD"/>
    <x v="18"/>
    <s v="D2. No es suficiente la asignación del rubro presupuestal para la ejecución de las actividades del proceso."/>
    <x v="5"/>
    <x v="11"/>
  </r>
  <r>
    <s v="DEBILIDAD"/>
    <x v="18"/>
    <s v="D3. Versiones iniciales de la documentación del SGC en papel"/>
    <x v="6"/>
    <x v="24"/>
  </r>
  <r>
    <s v="DEBILIDAD"/>
    <x v="18"/>
    <s v="D4. Contratos de trabajo interrumpido"/>
    <x v="1"/>
    <x v="14"/>
  </r>
  <r>
    <s v="DEBILIDAD"/>
    <x v="18"/>
    <s v="D5. Parte de la administración de los aplicativos del SGC está a cargo de otros procesos"/>
    <x v="4"/>
    <x v="19"/>
  </r>
  <r>
    <s v="DEBILIDAD"/>
    <x v="18"/>
    <s v="D6. Falta de disponibilidad de tiempo de los procesos para los temas de calidad"/>
    <x v="1"/>
    <x v="6"/>
  </r>
  <r>
    <s v="DEBILIDAD"/>
    <x v="18"/>
    <s v="D7. Rotación de facilitadores de temas de calidad en los procesos."/>
    <x v="1"/>
    <x v="14"/>
  </r>
  <r>
    <s v="DEBILIDAD"/>
    <x v="18"/>
    <s v="D8. Falta de articulación en las fuentes de información para la medición de los procesos."/>
    <x v="0"/>
    <x v="0"/>
  </r>
  <r>
    <s v="DEBILIDAD"/>
    <x v="18"/>
    <s v="D9. Falta de articulación en las herramientas administrativas de seguimiento y gestión en el proceso"/>
    <x v="4"/>
    <x v="10"/>
  </r>
  <r>
    <s v="DEBILIDAD"/>
    <x v="18"/>
    <s v="D10. Falta fortalecer el enfoque por procesos en la Institución"/>
    <x v="2"/>
    <x v="4"/>
  </r>
  <r>
    <s v="DEBILIDAD"/>
    <x v="18"/>
    <s v="D11. Falta toma de conciencia en la aplicación de los criterios documentales para la elaboración y actualización por parte de los Procesos"/>
    <x v="1"/>
    <x v="6"/>
  </r>
  <r>
    <s v="DEBILIDAD"/>
    <x v="18"/>
    <s v="D12. Dificultad en la comunicación por la modalidad de trabajo en casa"/>
    <x v="0"/>
    <x v="12"/>
  </r>
  <r>
    <s v="DEBILIDAD"/>
    <x v="19"/>
    <s v="D1. No contar con los recursos económicos suficientes para la  ejecución de los proyectos tecnológicos que permitan la ejecución de actividades de la Dirección de Sistemas y Tecnología."/>
    <x v="5"/>
    <x v="11"/>
  </r>
  <r>
    <s v="DEBILIDAD"/>
    <x v="19"/>
    <s v="D2.Falta de directrices estratégicas que permitan establecer la planeación para el desarrollo de la Política de Gobierno Digital, establecida por el Ministerio de Información y Comunicación - MinTic"/>
    <x v="2"/>
    <x v="4"/>
  </r>
  <r>
    <s v="DEBILIDAD"/>
    <x v="19"/>
    <s v="D3. Capacitación insuficiente para el Personal del área de Sistemas y Tecnología."/>
    <x v="1"/>
    <x v="32"/>
  </r>
  <r>
    <s v="DEBILIDAD"/>
    <x v="19"/>
    <s v="D4. Falta de continuidad en la contratación del personal de la Dirección de Sistemas y Tecnología, lo que ocasiona un retraso  en el  normal desarrollo de las actividades programadas"/>
    <x v="1"/>
    <x v="14"/>
  </r>
  <r>
    <s v="DEBILIDAD"/>
    <x v="19"/>
    <s v="D5. Desconocimiento por parte de terceros de las directrices trazadas por la Dirección de Sistemas y Tecnología para el desarrollo e implementación de nuevo software "/>
    <x v="1"/>
    <x v="2"/>
  </r>
  <r>
    <s v="DEBILIDAD"/>
    <x v="19"/>
    <s v="D6. Requerimientos de desarrollo de software, con necesidades no documentadas ni establecidas en un procedimiento de calidad."/>
    <x v="0"/>
    <x v="29"/>
  </r>
  <r>
    <s v="DEBILIDAD"/>
    <x v="19"/>
    <s v="D7. No asistencia de los funcionarios de la Universidad de Cundinamarca  a las socializaciones  suministradas por la Dirección de Sistemas y Tecnología"/>
    <x v="1"/>
    <x v="6"/>
  </r>
  <r>
    <s v="DEBILIDAD"/>
    <x v="19"/>
    <s v="D8. Falta de un plan de reposición de equipos de cómputo que cumplen su vida útil."/>
    <x v="4"/>
    <x v="21"/>
  </r>
  <r>
    <s v="DEBILIDAD"/>
    <x v="19"/>
    <s v="D9. No es suficiente la asignación del rubro presupuestal para la ejecución de las actividades."/>
    <x v="5"/>
    <x v="11"/>
  </r>
  <r>
    <s v="DEBILIDAD"/>
    <x v="19"/>
    <s v="D10. Falta de Documentación adecuada y actualizada en procesos críticos gestionados por personal de Contrato a termino Fijo."/>
    <x v="0"/>
    <x v="29"/>
  </r>
  <r>
    <s v="DEBILIDAD"/>
    <x v="19"/>
    <s v="D11. Deficiencias en el monitoreo de Servicios Tecnológicos utilizados a los usuarios Académicos y administrativos."/>
    <x v="3"/>
    <x v="5"/>
  </r>
  <r>
    <s v="DEBILIDAD"/>
    <x v="19"/>
    <s v="D12. Falta de masificación en el uso de herramientas para la gestión administrativa y académica."/>
    <x v="1"/>
    <x v="6"/>
  </r>
  <r>
    <s v="DEBILIDAD"/>
    <x v="19"/>
    <s v="D13. No se cuenta con recursos redundantes que permitan una continuidad o un plan de Contingencia optimo en los servicios Tecnológicos Ofrecidos a las partes Interesadas."/>
    <x v="5"/>
    <x v="11"/>
  </r>
  <r>
    <s v="DEBILIDAD"/>
    <x v="19"/>
    <s v="D14. Seccionales y extensiones que carecen de una adecuada Planta Fisica y acceso integral a los servicios como internet"/>
    <x v="4"/>
    <x v="26"/>
  </r>
  <r>
    <s v="DEBILIDAD"/>
    <x v="19"/>
    <s v="D15. El método de contratación y compra es extenso y dispendioso, afectando la ejecución oportuna de los procesos."/>
    <x v="0"/>
    <x v="1"/>
  </r>
  <r>
    <s v="DEBILIDAD"/>
    <x v="19"/>
    <s v="D16. Falta de planeación a los cambios a corto y mediano plazo que requiera el proceso."/>
    <x v="2"/>
    <x v="15"/>
  </r>
  <r>
    <s v="DEBILIDAD"/>
    <x v="20"/>
    <s v="D1. Oficina muy pequeña para el volumen de funcionarios. De la Dirección de Talento Humano."/>
    <x v="4"/>
    <x v="9"/>
  </r>
  <r>
    <s v="DEBILIDAD"/>
    <x v="20"/>
    <s v="D2. Falta de sistematización en las diferentes actividades, que tardan el curso normal de los procesos. (Acuerdos de gestión, retenciones, impuestos, e indicadores)."/>
    <x v="0"/>
    <x v="35"/>
  </r>
  <r>
    <s v="DEBILIDAD"/>
    <x v="20"/>
    <s v="D3. Equipo de trabajo insuficiente para el volumen de trabajo."/>
    <x v="1"/>
    <x v="8"/>
  </r>
  <r>
    <s v="DEBILIDAD"/>
    <x v="20"/>
    <s v="D4. Ubicación del archivo de hojas de vida del personal de termino fijo muy retirado de la oficina de Talento Humano. Baja seguridad del archivo de hojas de vida, tanto de personal de termino fijo como de docentes."/>
    <x v="4"/>
    <x v="20"/>
  </r>
  <r>
    <s v="DEBILIDAD"/>
    <x v="20"/>
    <s v="D5. Falta de verificación de la veracidad de los documentos soportes de contratación."/>
    <x v="0"/>
    <x v="39"/>
  </r>
  <r>
    <s v="DEBILIDAD"/>
    <x v="20"/>
    <s v="D6. Falta de restricción del personal ajeno a la oficina de Talento Humano y Dependencia significativa de otros procesos, que tardan la continuidad de las actividades de los diferentes procedimientos."/>
    <x v="4"/>
    <x v="20"/>
  </r>
  <r>
    <s v="DEBILIDAD"/>
    <x v="20"/>
    <s v="D7. Falta compromiso del personal en la asistencia de los diferentes eventos programados por el proceso de Talento Humano."/>
    <x v="1"/>
    <x v="6"/>
  </r>
  <r>
    <s v="DEBILIDAD"/>
    <x v="20"/>
    <s v="D8. No cumplimiento de los parámetros indicados para la evaluación docente."/>
    <x v="0"/>
    <x v="25"/>
  </r>
  <r>
    <s v="DEBILIDAD"/>
    <x v="20"/>
    <s v="D9. Equipos de hardware y red inalámbrica no aptos para el desarrollo de las actividades del proceso."/>
    <x v="4"/>
    <x v="21"/>
  </r>
  <r>
    <s v="DEBILIDAD"/>
    <x v="20"/>
    <s v="D10. Incumplimiento de la normatividad legal vigente, relacionada con la afiliación del personal nuevo al sistema de seguridad social."/>
    <x v="0"/>
    <x v="25"/>
  </r>
  <r>
    <s v="DEBILIDAD"/>
    <x v="20"/>
    <s v="D11. Falta de compromiso de los funcionarios contratados con la actualizacion de su historia laboral"/>
    <x v="1"/>
    <x v="6"/>
  </r>
  <r>
    <s v="DEBILIDAD"/>
    <x v="20"/>
    <s v="D12. No se evidencia como aportan los indicadores al frente estratégico al cual esta articulado el proceso."/>
    <x v="3"/>
    <x v="34"/>
  </r>
  <r>
    <s v="DEBILIDAD"/>
    <x v="20"/>
    <s v="D13. No se garantiza la idoneidad en cuanto a educación, formación y experiencia, frente al requisitos de los cargos "/>
    <x v="1"/>
    <x v="16"/>
  </r>
  <r>
    <s v="DEBILIDAD"/>
    <x v="20"/>
    <s v="D14. Falta evaluar la eficacia de las capacitaciones."/>
    <x v="3"/>
    <x v="5"/>
  </r>
  <r>
    <s v="DEBILIDAD"/>
    <x v="20"/>
    <s v="D15. No se evidencia la eficiencia en el recaudo del pago de las incapacidades "/>
    <x v="0"/>
    <x v="1"/>
  </r>
  <r>
    <s v="DEBILIDAD"/>
    <x v="20"/>
    <s v="D16. No se cumplen las fechas establecidas en procedimientos para recepción de novedades de nómina."/>
    <x v="0"/>
    <x v="1"/>
  </r>
  <r>
    <s v="DEBILIDAD"/>
    <x v="20"/>
    <s v="D17. Incurrir en multas y/o sanciones derivados por incumplimientos a la normatividad legal vigente causadas por paros, los cuales evitan el funcionamiento normal de la oficina."/>
    <x v="0"/>
    <x v="25"/>
  </r>
  <r>
    <s v="DEBILIDAD"/>
    <x v="20"/>
    <s v="D18. Falta de continuidad en el contrato laboral; genera incertidumbre en los contratistas."/>
    <x v="1"/>
    <x v="14"/>
  </r>
  <r>
    <s v="DEBILIDAD"/>
    <x v="20"/>
    <s v="D19. No se cuenta con política o mecanismo para gestionar y conservación el conocimiento de los funcionarios que se retiran de la UDEC."/>
    <x v="1"/>
    <x v="2"/>
  </r>
  <r>
    <s v="DEBILIDAD"/>
    <x v="20"/>
    <s v="D20.Modalidad de contratación afecta la prestación del servicio y la continuidad de proyectos de investigación."/>
    <x v="1"/>
    <x v="14"/>
  </r>
  <r>
    <s v="DEBILIDAD"/>
    <x v="20"/>
    <s v="D21. No evidencian las  acciones de planificación para el logro de los objetivos.(Hallazgo 42-2020)"/>
    <x v="2"/>
    <x v="15"/>
  </r>
  <r>
    <s v="DEBILIDAD"/>
    <x v="20"/>
    <s v="D22. No realizar análisis apropiado a los resultados del los indicador. (Hallazgo 44-2020)"/>
    <x v="3"/>
    <x v="5"/>
  </r>
  <r>
    <s v="DEBILIDAD"/>
    <x v="20"/>
    <s v="D23.No realizar identificación de las acciones  adecuadas para  determinar la  causa raíz  de los hallazgos en los planes de mejora.(Hallazgo 45-2020)"/>
    <x v="3"/>
    <x v="22"/>
  </r>
  <r>
    <s v="DEBILIDAD"/>
    <x v="21"/>
    <s v="D1. Falta de sistematización en las diferentes actividades, que tardan el curso normal de los procesos. (inspecciones sg-sst e indicadores)."/>
    <x v="0"/>
    <x v="35"/>
  </r>
  <r>
    <s v="DEBILIDAD"/>
    <x v="21"/>
    <s v="D2. Equipo de trabajo insuficiente para el volumen de trabajo."/>
    <x v="1"/>
    <x v="8"/>
  </r>
  <r>
    <s v="DEBILIDAD"/>
    <x v="21"/>
    <s v="D3. Falta de cobertura del SG-SST a todas la Sede, Seccionales, Extensiones, Granjas y Oficina de la Universidad."/>
    <x v="2"/>
    <x v="15"/>
  </r>
  <r>
    <s v="DEBILIDAD"/>
    <x v="21"/>
    <s v="D4. Falta compromiso del personal en la asistencia de los diferentes eventos programados por SG-SST."/>
    <x v="1"/>
    <x v="6"/>
  </r>
  <r>
    <s v="DEBILIDAD"/>
    <x v="21"/>
    <s v="D5. Incumplimiento de la normatividad legal vigente, relacionada con la afiliación del personal nuevo a la ARL."/>
    <x v="0"/>
    <x v="25"/>
  </r>
  <r>
    <s v="DEBILIDAD"/>
    <x v="21"/>
    <s v="D6. No identificación oportuna de cambios en la legislación vigente."/>
    <x v="0"/>
    <x v="13"/>
  </r>
  <r>
    <s v="DEBILIDAD"/>
    <x v="21"/>
    <s v="D7. No se evidencia como aportan los indicadores al frente estratégico al cual esta articulado el proceso."/>
    <x v="3"/>
    <x v="34"/>
  </r>
  <r>
    <s v="DEBILIDAD"/>
    <x v="21"/>
    <s v="D8. Falta evaluar la eficacia de las capacitaciones."/>
    <x v="3"/>
    <x v="34"/>
  </r>
  <r>
    <s v="DEBILIDAD"/>
    <x v="21"/>
    <s v="D9. Falta compromiso del personal frente a la realización y cumplimentó de las actividades relacionadas con Seguridad y Salud en el Trabajo (pausas activas, actividades de PyP)."/>
    <x v="1"/>
    <x v="6"/>
  </r>
  <r>
    <s v="DEBILIDAD"/>
    <x v="21"/>
    <s v="D10. No cumplimiento de la obligación de reporte de accidentes de trabajo en los tiempos establecidos."/>
    <x v="0"/>
    <x v="1"/>
  </r>
  <r>
    <s v="DEBILIDAD"/>
    <x v="21"/>
    <s v="D11. Falta de recursos para el desplazamiento a los centros de trabajo. "/>
    <x v="4"/>
    <x v="37"/>
  </r>
  <r>
    <s v="DEBILIDAD"/>
    <x v="21"/>
    <s v="D12. Riesgo publico por desplazamientos."/>
    <x v="7"/>
    <x v="33"/>
  </r>
  <r>
    <s v="DEBILIDAD"/>
    <x v="21"/>
    <s v="D13. Falta de continuidad en el contrato laboral; genera incertidumbre en los contratistas (traumatismo en los procesos) y deficiencia en la cobertura de personal responsable del SG-SST. "/>
    <x v="1"/>
    <x v="14"/>
  </r>
  <r>
    <s v="DEBILIDAD"/>
    <x v="21"/>
    <s v="D14. Dificultades en la conectividad virtual con todos los centros de trabajo para desarrollar el COPASST."/>
    <x v="4"/>
    <x v="26"/>
  </r>
  <r>
    <s v="DEBILIDAD"/>
    <x v="21"/>
    <s v="D15. Debilidad en las estructura y debilidad en los lineamientos para la brigada de emergencias."/>
    <x v="2"/>
    <x v="15"/>
  </r>
  <r>
    <s v="DEBILIDAD"/>
    <x v="21"/>
    <s v="D16.Afectación por la presencia   de manifestantes que generan disturbios al interior de la institución afectando la infraestructura y generan la activación del plan de emergencia."/>
    <x v="4"/>
    <x v="9"/>
  </r>
  <r>
    <s v="DEBILIDAD"/>
    <x v="21"/>
    <s v="D17. No evidencian las  acciones de planificación para el logro de los objetivos.(Hallazgo 42-2020)"/>
    <x v="2"/>
    <x v="15"/>
  </r>
  <r>
    <s v="DEBILIDAD"/>
    <x v="21"/>
    <s v="D18. No realizar análisis apropiado a los resultados del los indicador. (Hallazgo 44-2020)"/>
    <x v="3"/>
    <x v="34"/>
  </r>
  <r>
    <s v="DEBILIDAD"/>
    <x v="21"/>
    <s v="D19.No realizar identificación de las acciones  adecuadas para  determinar la  causa raíz  de los hallazgos en los planes de mejora.(Hallazgo 45-2020)"/>
    <x v="3"/>
    <x v="5"/>
  </r>
  <r>
    <s v="DEBILIDAD"/>
    <x v="21"/>
    <s v="D20.No contar con un mecanismo que permitan activar la cadena de llamada de emergencias, con las autoridades municipales. (hallazgo 1)"/>
    <x v="0"/>
    <x v="12"/>
  </r>
  <r>
    <s v="DEBILIDAD"/>
    <x v="21"/>
    <s v="D21. Falta de lineamientos para la articulación de los elementos transversales de los sistemas de gestión. "/>
    <x v="0"/>
    <x v="0"/>
  </r>
  <r>
    <s v="DEBILIDAD"/>
    <x v="21"/>
    <s v="D22. Falta de evaluación periodica de la matriz de identificación de peligros y riesgos nuevos y existentes de las unidades agroambiental que permitan la identificación de nuevos controles que mitigen los risgos  del personas que trabaja a compo abierto."/>
    <x v="3"/>
    <x v="5"/>
  </r>
  <r>
    <s v="DEBILIDAD"/>
    <x v="22"/>
    <s v="D1. No se cuenta con una herramienta sistematizada que nos permita hacer el seguimiento a Graduados, en su vida laboral y académica."/>
    <x v="0"/>
    <x v="35"/>
  </r>
  <r>
    <s v="DEBILIDAD"/>
    <x v="22"/>
    <s v="D2. No poder hacer contacto directo con los graduados por medio de correos electrónicos ni telefónico por políticas de privacidad"/>
    <x v="0"/>
    <x v="12"/>
  </r>
  <r>
    <s v="DEBILIDAD"/>
    <x v="22"/>
    <s v="D3. No se cuenta con indicadores que nos permitan identificar la actualidad laboral y académica de los Graduados "/>
    <x v="3"/>
    <x v="34"/>
  </r>
  <r>
    <s v="DEBILIDAD"/>
    <x v="22"/>
    <s v="D4. Generar mas  recursos económicos para los diferentes eventos planeados por la oficina de Graduados. "/>
    <x v="2"/>
    <x v="15"/>
  </r>
  <r>
    <s v="DEBILIDAD"/>
    <x v="22"/>
    <s v="D5. Baja participación de docentes encargados del seguimiento a graduados en los diferentes programas académicos de la universidad "/>
    <x v="1"/>
    <x v="6"/>
  </r>
  <r>
    <s v="DEBILIDAD"/>
    <x v="22"/>
    <s v="D6. Falta de comunicación con todos los programas académicos para la generación de talleres y conferencias."/>
    <x v="0"/>
    <x v="12"/>
  </r>
  <r>
    <s v="DEBILIDAD"/>
    <x v="22"/>
    <s v="D7. Personal insuficiente para sede, extensiones y seccionales para las actividades relacionadas al proceso "/>
    <x v="1"/>
    <x v="8"/>
  </r>
  <r>
    <s v="DEBILIDAD"/>
    <x v="22"/>
    <s v="D8. Mecanismos deficientes para realizar la actualización y seguimiento de la información de los graduados oportunamente. "/>
    <x v="4"/>
    <x v="10"/>
  </r>
  <r>
    <s v="DEBILIDAD"/>
    <x v="22"/>
    <s v="D9. No identificación oportuna de la normatividades legales aplicables al proceso."/>
    <x v="0"/>
    <x v="25"/>
  </r>
  <r>
    <s v="DEBILIDAD"/>
    <x v="22"/>
    <s v="D10. No se cuenta con una articulación de la Universidad Cundinamarca  y los graduados para  continuar con los programas de investigación."/>
    <x v="0"/>
    <x v="0"/>
  </r>
  <r>
    <s v="DEBILIDAD"/>
    <x v="22"/>
    <s v="D11. No considerar  a los graduados en condición de discapacidad en la planeación y realización de  los eventos. "/>
    <x v="2"/>
    <x v="15"/>
  </r>
  <r>
    <s v="DEBILIDAD"/>
    <x v="22"/>
    <s v="D12. No actualizar de manera oportuna los cambios a la  planificación de los eventos frente a situaciones de contingencia. Hallazgos 25-26"/>
    <x v="2"/>
    <x v="1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TablaDinámica1" cacheId="5"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location ref="C3:D43" firstHeaderRow="1" firstDataRow="1" firstDataCol="1"/>
  <pivotFields count="5">
    <pivotField showAll="0" defaultSubtotal="0"/>
    <pivotField axis="axisRow" showAll="0">
      <items count="24">
        <item x="20"/>
        <item x="4"/>
        <item x="2"/>
        <item x="10"/>
        <item x="1"/>
        <item x="13"/>
        <item x="18"/>
        <item x="17"/>
        <item x="16"/>
        <item x="14"/>
        <item x="11"/>
        <item x="12"/>
        <item x="19"/>
        <item x="15"/>
        <item x="3"/>
        <item x="8"/>
        <item x="6"/>
        <item x="0"/>
        <item x="9"/>
        <item x="5"/>
        <item x="7"/>
        <item x="21"/>
        <item x="22"/>
        <item t="default"/>
      </items>
    </pivotField>
    <pivotField showAll="0"/>
    <pivotField axis="axisRow" showAll="0" sortType="descending">
      <items count="9">
        <item x="2"/>
        <item x="5"/>
        <item x="7"/>
        <item x="1"/>
        <item x="4"/>
        <item x="6"/>
        <item sd="0" x="0"/>
        <item x="3"/>
        <item t="default"/>
      </items>
      <autoSortScope>
        <pivotArea dataOnly="0" outline="0" fieldPosition="0">
          <references count="1">
            <reference field="4294967294" count="1" selected="0">
              <x v="0"/>
            </reference>
          </references>
        </pivotArea>
      </autoSortScope>
    </pivotField>
    <pivotField axis="axisRow" dataField="1" showAll="0">
      <items count="44">
        <item sd="0" x="33"/>
        <item sd="0" x="16"/>
        <item sd="0" x="14"/>
        <item sd="0" x="4"/>
        <item sd="0" x="3"/>
        <item sd="0" x="10"/>
        <item sd="0" x="34"/>
        <item sd="0" x="9"/>
        <item sd="0" x="7"/>
        <item sd="0" x="28"/>
        <item sd="0" x="37"/>
        <item sd="0" x="15"/>
        <item sd="0" x="11"/>
        <item sd="0" x="23"/>
        <item sd="0" x="26"/>
        <item sd="0" x="38"/>
        <item sd="0" x="5"/>
        <item sd="0" x="8"/>
        <item sd="0" x="1"/>
        <item sd="0" x="6"/>
        <item sd="0" x="25"/>
        <item sd="0" x="35"/>
        <item sd="0" x="12"/>
        <item sd="0" x="20"/>
        <item sd="0" x="36"/>
        <item x="24"/>
        <item sd="0" x="30"/>
        <item sd="0" x="0"/>
        <item sd="0" x="2"/>
        <item sd="0" m="1" x="41"/>
        <item sd="0" x="13"/>
        <item sd="0" m="1" x="42"/>
        <item sd="0" x="17"/>
        <item sd="0" x="18"/>
        <item sd="0" x="19"/>
        <item sd="0" x="21"/>
        <item sd="0" x="22"/>
        <item sd="0" x="27"/>
        <item x="29"/>
        <item sd="0" x="31"/>
        <item sd="0" x="32"/>
        <item sd="0" m="1" x="40"/>
        <item x="39"/>
        <item t="default"/>
      </items>
    </pivotField>
  </pivotFields>
  <rowFields count="3">
    <field x="3"/>
    <field x="4"/>
    <field x="1"/>
  </rowFields>
  <rowItems count="40">
    <i>
      <x v="6"/>
    </i>
    <i>
      <x v="3"/>
    </i>
    <i r="1">
      <x v="1"/>
    </i>
    <i r="1">
      <x v="2"/>
    </i>
    <i r="1">
      <x v="15"/>
    </i>
    <i r="1">
      <x v="17"/>
    </i>
    <i r="1">
      <x v="19"/>
    </i>
    <i r="1">
      <x v="28"/>
    </i>
    <i r="1">
      <x v="37"/>
    </i>
    <i r="1">
      <x v="40"/>
    </i>
    <i>
      <x v="4"/>
    </i>
    <i r="1">
      <x v="5"/>
    </i>
    <i r="1">
      <x v="7"/>
    </i>
    <i r="1">
      <x v="10"/>
    </i>
    <i r="1">
      <x v="14"/>
    </i>
    <i r="1">
      <x v="23"/>
    </i>
    <i r="1">
      <x v="24"/>
    </i>
    <i r="1">
      <x v="34"/>
    </i>
    <i r="1">
      <x v="35"/>
    </i>
    <i>
      <x/>
    </i>
    <i r="1">
      <x v="3"/>
    </i>
    <i r="1">
      <x v="4"/>
    </i>
    <i r="1">
      <x v="8"/>
    </i>
    <i r="1">
      <x v="11"/>
    </i>
    <i r="1">
      <x v="26"/>
    </i>
    <i r="1">
      <x v="39"/>
    </i>
    <i>
      <x v="7"/>
    </i>
    <i r="1">
      <x v="6"/>
    </i>
    <i r="1">
      <x v="16"/>
    </i>
    <i r="1">
      <x v="36"/>
    </i>
    <i>
      <x v="1"/>
    </i>
    <i r="1">
      <x v="9"/>
    </i>
    <i r="1">
      <x v="12"/>
    </i>
    <i>
      <x v="2"/>
    </i>
    <i r="1">
      <x/>
    </i>
    <i>
      <x v="5"/>
    </i>
    <i r="1">
      <x v="25"/>
    </i>
    <i r="2">
      <x v="6"/>
    </i>
    <i r="2">
      <x v="19"/>
    </i>
    <i t="grand">
      <x/>
    </i>
  </rowItems>
  <colItems count="1">
    <i/>
  </colItems>
  <dataFields count="1">
    <dataField name="Cuenta de SUBCLASIFICACION" fld="4" subtotal="count" baseField="3" baseItem="6" numFmtId="1"/>
  </dataFields>
  <formats count="104">
    <format dxfId="338">
      <pivotArea type="all" dataOnly="0" outline="0" fieldPosition="0"/>
    </format>
    <format dxfId="337">
      <pivotArea type="all" dataOnly="0" outline="0" fieldPosition="0"/>
    </format>
    <format dxfId="336">
      <pivotArea outline="0" collapsedLevelsAreSubtotals="1" fieldPosition="0"/>
    </format>
    <format dxfId="335">
      <pivotArea field="3" type="button" dataOnly="0" labelOnly="1" outline="0" axis="axisRow" fieldPosition="0"/>
    </format>
    <format dxfId="334">
      <pivotArea dataOnly="0" labelOnly="1" outline="0" axis="axisValues" fieldPosition="0"/>
    </format>
    <format dxfId="333">
      <pivotArea dataOnly="0" labelOnly="1" fieldPosition="0">
        <references count="1">
          <reference field="3" count="0"/>
        </references>
      </pivotArea>
    </format>
    <format dxfId="332">
      <pivotArea dataOnly="0" labelOnly="1" grandRow="1" outline="0" fieldPosition="0"/>
    </format>
    <format dxfId="331">
      <pivotArea collapsedLevelsAreSubtotals="1" fieldPosition="0">
        <references count="1">
          <reference field="3" count="1">
            <x v="3"/>
          </reference>
        </references>
      </pivotArea>
    </format>
    <format dxfId="330">
      <pivotArea collapsedLevelsAreSubtotals="1" fieldPosition="0">
        <references count="2">
          <reference field="3" count="1" selected="0">
            <x v="3"/>
          </reference>
          <reference field="4" count="1">
            <x v="2"/>
          </reference>
        </references>
      </pivotArea>
    </format>
    <format dxfId="329">
      <pivotArea collapsedLevelsAreSubtotals="1" fieldPosition="0">
        <references count="2">
          <reference field="3" count="1" selected="0">
            <x v="3"/>
          </reference>
          <reference field="4" count="1">
            <x v="17"/>
          </reference>
        </references>
      </pivotArea>
    </format>
    <format dxfId="328">
      <pivotArea collapsedLevelsAreSubtotals="1" fieldPosition="0">
        <references count="2">
          <reference field="3" count="1" selected="0">
            <x v="3"/>
          </reference>
          <reference field="4" count="1">
            <x v="19"/>
          </reference>
        </references>
      </pivotArea>
    </format>
    <format dxfId="327">
      <pivotArea collapsedLevelsAreSubtotals="1" fieldPosition="0">
        <references count="2">
          <reference field="3" count="1" selected="0">
            <x v="3"/>
          </reference>
          <reference field="4" count="1">
            <x v="1"/>
          </reference>
        </references>
      </pivotArea>
    </format>
    <format dxfId="326">
      <pivotArea collapsedLevelsAreSubtotals="1" fieldPosition="0">
        <references count="2">
          <reference field="3" count="1" selected="0">
            <x v="3"/>
          </reference>
          <reference field="4" count="1">
            <x v="15"/>
          </reference>
        </references>
      </pivotArea>
    </format>
    <format dxfId="325">
      <pivotArea collapsedLevelsAreSubtotals="1" fieldPosition="0">
        <references count="1">
          <reference field="3" count="1">
            <x v="4"/>
          </reference>
        </references>
      </pivotArea>
    </format>
    <format dxfId="324">
      <pivotArea collapsedLevelsAreSubtotals="1" fieldPosition="0">
        <references count="2">
          <reference field="3" count="1" selected="0">
            <x v="4"/>
          </reference>
          <reference field="4" count="1">
            <x v="7"/>
          </reference>
        </references>
      </pivotArea>
    </format>
    <format dxfId="323">
      <pivotArea collapsedLevelsAreSubtotals="1" fieldPosition="0">
        <references count="2">
          <reference field="3" count="1" selected="0">
            <x v="4"/>
          </reference>
          <reference field="4" count="1">
            <x v="5"/>
          </reference>
        </references>
      </pivotArea>
    </format>
    <format dxfId="322">
      <pivotArea collapsedLevelsAreSubtotals="1" fieldPosition="0">
        <references count="2">
          <reference field="3" count="1" selected="0">
            <x v="4"/>
          </reference>
          <reference field="4" count="1">
            <x v="23"/>
          </reference>
        </references>
      </pivotArea>
    </format>
    <format dxfId="321">
      <pivotArea collapsedLevelsAreSubtotals="1" fieldPosition="0">
        <references count="2">
          <reference field="3" count="1" selected="0">
            <x v="4"/>
          </reference>
          <reference field="4" count="1">
            <x v="14"/>
          </reference>
        </references>
      </pivotArea>
    </format>
    <format dxfId="320">
      <pivotArea collapsedLevelsAreSubtotals="1" fieldPosition="0">
        <references count="2">
          <reference field="3" count="1" selected="0">
            <x v="4"/>
          </reference>
          <reference field="4" count="1">
            <x v="10"/>
          </reference>
        </references>
      </pivotArea>
    </format>
    <format dxfId="319">
      <pivotArea collapsedLevelsAreSubtotals="1" fieldPosition="0">
        <references count="2">
          <reference field="3" count="1" selected="0">
            <x v="4"/>
          </reference>
          <reference field="4" count="1">
            <x v="24"/>
          </reference>
        </references>
      </pivotArea>
    </format>
    <format dxfId="318">
      <pivotArea collapsedLevelsAreSubtotals="1" fieldPosition="0">
        <references count="1">
          <reference field="3" count="1">
            <x v="0"/>
          </reference>
        </references>
      </pivotArea>
    </format>
    <format dxfId="317">
      <pivotArea collapsedLevelsAreSubtotals="1" fieldPosition="0">
        <references count="2">
          <reference field="3" count="1" selected="0">
            <x v="0"/>
          </reference>
          <reference field="4" count="1">
            <x v="3"/>
          </reference>
        </references>
      </pivotArea>
    </format>
    <format dxfId="316">
      <pivotArea collapsedLevelsAreSubtotals="1" fieldPosition="0">
        <references count="2">
          <reference field="3" count="1" selected="0">
            <x v="0"/>
          </reference>
          <reference field="4" count="1">
            <x v="8"/>
          </reference>
        </references>
      </pivotArea>
    </format>
    <format dxfId="315">
      <pivotArea collapsedLevelsAreSubtotals="1" fieldPosition="0">
        <references count="2">
          <reference field="3" count="1" selected="0">
            <x v="0"/>
          </reference>
          <reference field="4" count="1">
            <x v="4"/>
          </reference>
        </references>
      </pivotArea>
    </format>
    <format dxfId="314">
      <pivotArea collapsedLevelsAreSubtotals="1" fieldPosition="0">
        <references count="2">
          <reference field="3" count="1" selected="0">
            <x v="0"/>
          </reference>
          <reference field="4" count="1">
            <x v="11"/>
          </reference>
        </references>
      </pivotArea>
    </format>
    <format dxfId="313">
      <pivotArea collapsedLevelsAreSubtotals="1" fieldPosition="0">
        <references count="2">
          <reference field="3" count="1" selected="0">
            <x v="0"/>
          </reference>
          <reference field="4" count="1">
            <x v="26"/>
          </reference>
        </references>
      </pivotArea>
    </format>
    <format dxfId="312">
      <pivotArea collapsedLevelsAreSubtotals="1" fieldPosition="0">
        <references count="1">
          <reference field="3" count="1">
            <x v="1"/>
          </reference>
        </references>
      </pivotArea>
    </format>
    <format dxfId="311">
      <pivotArea collapsedLevelsAreSubtotals="1" fieldPosition="0">
        <references count="2">
          <reference field="3" count="1" selected="0">
            <x v="1"/>
          </reference>
          <reference field="4" count="1">
            <x v="12"/>
          </reference>
        </references>
      </pivotArea>
    </format>
    <format dxfId="310">
      <pivotArea collapsedLevelsAreSubtotals="1" fieldPosition="0">
        <references count="2">
          <reference field="3" count="1" selected="0">
            <x v="1"/>
          </reference>
          <reference field="4" count="1">
            <x v="9"/>
          </reference>
        </references>
      </pivotArea>
    </format>
    <format dxfId="309">
      <pivotArea collapsedLevelsAreSubtotals="1" fieldPosition="0">
        <references count="1">
          <reference field="3" count="1">
            <x v="5"/>
          </reference>
        </references>
      </pivotArea>
    </format>
    <format dxfId="308">
      <pivotArea collapsedLevelsAreSubtotals="1" fieldPosition="0">
        <references count="2">
          <reference field="3" count="1" selected="0">
            <x v="5"/>
          </reference>
          <reference field="4" count="1">
            <x v="25"/>
          </reference>
        </references>
      </pivotArea>
    </format>
    <format dxfId="307">
      <pivotArea collapsedLevelsAreSubtotals="1" fieldPosition="0">
        <references count="1">
          <reference field="3" count="1">
            <x v="2"/>
          </reference>
        </references>
      </pivotArea>
    </format>
    <format dxfId="306">
      <pivotArea collapsedLevelsAreSubtotals="1" fieldPosition="0">
        <references count="2">
          <reference field="3" count="1" selected="0">
            <x v="2"/>
          </reference>
          <reference field="4" count="1">
            <x v="0"/>
          </reference>
        </references>
      </pivotArea>
    </format>
    <format dxfId="305">
      <pivotArea dataOnly="0" labelOnly="1" fieldPosition="0">
        <references count="1">
          <reference field="3" count="0"/>
        </references>
      </pivotArea>
    </format>
    <format dxfId="304">
      <pivotArea dataOnly="0" labelOnly="1" fieldPosition="0">
        <references count="2">
          <reference field="3" count="1" selected="0">
            <x v="3"/>
          </reference>
          <reference field="4" count="5">
            <x v="1"/>
            <x v="2"/>
            <x v="15"/>
            <x v="17"/>
            <x v="19"/>
          </reference>
        </references>
      </pivotArea>
    </format>
    <format dxfId="303">
      <pivotArea dataOnly="0" labelOnly="1" fieldPosition="0">
        <references count="2">
          <reference field="3" count="1" selected="0">
            <x v="4"/>
          </reference>
          <reference field="4" count="6">
            <x v="5"/>
            <x v="7"/>
            <x v="10"/>
            <x v="14"/>
            <x v="23"/>
            <x v="24"/>
          </reference>
        </references>
      </pivotArea>
    </format>
    <format dxfId="302">
      <pivotArea dataOnly="0" labelOnly="1" fieldPosition="0">
        <references count="2">
          <reference field="3" count="1" selected="0">
            <x v="0"/>
          </reference>
          <reference field="4" count="5">
            <x v="3"/>
            <x v="4"/>
            <x v="8"/>
            <x v="11"/>
            <x v="26"/>
          </reference>
        </references>
      </pivotArea>
    </format>
    <format dxfId="301">
      <pivotArea dataOnly="0" labelOnly="1" fieldPosition="0">
        <references count="2">
          <reference field="3" count="1" selected="0">
            <x v="1"/>
          </reference>
          <reference field="4" count="2">
            <x v="9"/>
            <x v="12"/>
          </reference>
        </references>
      </pivotArea>
    </format>
    <format dxfId="300">
      <pivotArea dataOnly="0" labelOnly="1" fieldPosition="0">
        <references count="2">
          <reference field="3" count="1" selected="0">
            <x v="5"/>
          </reference>
          <reference field="4" count="1">
            <x v="25"/>
          </reference>
        </references>
      </pivotArea>
    </format>
    <format dxfId="299">
      <pivotArea dataOnly="0" labelOnly="1" fieldPosition="0">
        <references count="2">
          <reference field="3" count="1" selected="0">
            <x v="2"/>
          </reference>
          <reference field="4" count="1">
            <x v="0"/>
          </reference>
        </references>
      </pivotArea>
    </format>
    <format dxfId="298">
      <pivotArea outline="0" collapsedLevelsAreSubtotals="1" fieldPosition="0"/>
    </format>
    <format dxfId="297">
      <pivotArea dataOnly="0" labelOnly="1" outline="0" axis="axisValues" fieldPosition="0"/>
    </format>
    <format dxfId="296">
      <pivotArea dataOnly="0" labelOnly="1" outline="0" axis="axisValues" fieldPosition="0"/>
    </format>
    <format dxfId="295">
      <pivotArea dataOnly="0" fieldPosition="0">
        <references count="2">
          <reference field="3" count="1" selected="0">
            <x v="0"/>
          </reference>
          <reference field="4" count="1">
            <x v="8"/>
          </reference>
        </references>
      </pivotArea>
    </format>
    <format dxfId="294">
      <pivotArea dataOnly="0" fieldPosition="0">
        <references count="1">
          <reference field="4" count="1">
            <x v="36"/>
          </reference>
        </references>
      </pivotArea>
    </format>
    <format dxfId="293">
      <pivotArea collapsedLevelsAreSubtotals="1" fieldPosition="0">
        <references count="1">
          <reference field="3" count="1">
            <x v="6"/>
          </reference>
        </references>
      </pivotArea>
    </format>
    <format dxfId="292">
      <pivotArea collapsedLevelsAreSubtotals="1" fieldPosition="0">
        <references count="2">
          <reference field="3" count="1" selected="0">
            <x v="6"/>
          </reference>
          <reference field="4" count="1">
            <x v="13"/>
          </reference>
        </references>
      </pivotArea>
    </format>
    <format dxfId="291">
      <pivotArea collapsedLevelsAreSubtotals="1" fieldPosition="0">
        <references count="2">
          <reference field="3" count="1" selected="0">
            <x v="6"/>
          </reference>
          <reference field="4" count="1">
            <x v="18"/>
          </reference>
        </references>
      </pivotArea>
    </format>
    <format dxfId="290">
      <pivotArea collapsedLevelsAreSubtotals="1" fieldPosition="0">
        <references count="2">
          <reference field="3" count="1" selected="0">
            <x v="6"/>
          </reference>
          <reference field="4" count="1">
            <x v="20"/>
          </reference>
        </references>
      </pivotArea>
    </format>
    <format dxfId="289">
      <pivotArea collapsedLevelsAreSubtotals="1" fieldPosition="0">
        <references count="2">
          <reference field="3" count="1" selected="0">
            <x v="6"/>
          </reference>
          <reference field="4" count="1">
            <x v="21"/>
          </reference>
        </references>
      </pivotArea>
    </format>
    <format dxfId="288">
      <pivotArea collapsedLevelsAreSubtotals="1" fieldPosition="0">
        <references count="2">
          <reference field="3" count="1" selected="0">
            <x v="6"/>
          </reference>
          <reference field="4" count="1">
            <x v="22"/>
          </reference>
        </references>
      </pivotArea>
    </format>
    <format dxfId="287">
      <pivotArea collapsedLevelsAreSubtotals="1" fieldPosition="0">
        <references count="2">
          <reference field="3" count="1" selected="0">
            <x v="6"/>
          </reference>
          <reference field="4" count="1">
            <x v="27"/>
          </reference>
        </references>
      </pivotArea>
    </format>
    <format dxfId="286">
      <pivotArea collapsedLevelsAreSubtotals="1" fieldPosition="0">
        <references count="2">
          <reference field="3" count="1" selected="0">
            <x v="6"/>
          </reference>
          <reference field="4" count="1">
            <x v="30"/>
          </reference>
        </references>
      </pivotArea>
    </format>
    <format dxfId="285">
      <pivotArea collapsedLevelsAreSubtotals="1" fieldPosition="0">
        <references count="2">
          <reference field="3" count="1" selected="0">
            <x v="6"/>
          </reference>
          <reference field="4" count="1">
            <x v="32"/>
          </reference>
        </references>
      </pivotArea>
    </format>
    <format dxfId="284">
      <pivotArea collapsedLevelsAreSubtotals="1" fieldPosition="0">
        <references count="2">
          <reference field="3" count="1" selected="0">
            <x v="6"/>
          </reference>
          <reference field="4" count="1">
            <x v="33"/>
          </reference>
        </references>
      </pivotArea>
    </format>
    <format dxfId="283">
      <pivotArea collapsedLevelsAreSubtotals="1" fieldPosition="0">
        <references count="2">
          <reference field="3" count="1" selected="0">
            <x v="6"/>
          </reference>
          <reference field="4" count="1">
            <x v="38"/>
          </reference>
        </references>
      </pivotArea>
    </format>
    <format dxfId="282">
      <pivotArea collapsedLevelsAreSubtotals="1" fieldPosition="0">
        <references count="2">
          <reference field="3" count="1" selected="0">
            <x v="6"/>
          </reference>
          <reference field="4" count="1">
            <x v="42"/>
          </reference>
        </references>
      </pivotArea>
    </format>
    <format dxfId="281">
      <pivotArea collapsedLevelsAreSubtotals="1" fieldPosition="0">
        <references count="1">
          <reference field="3" count="1">
            <x v="3"/>
          </reference>
        </references>
      </pivotArea>
    </format>
    <format dxfId="280">
      <pivotArea collapsedLevelsAreSubtotals="1" fieldPosition="0">
        <references count="2">
          <reference field="3" count="1" selected="0">
            <x v="3"/>
          </reference>
          <reference field="4" count="1">
            <x v="1"/>
          </reference>
        </references>
      </pivotArea>
    </format>
    <format dxfId="279">
      <pivotArea collapsedLevelsAreSubtotals="1" fieldPosition="0">
        <references count="2">
          <reference field="3" count="1" selected="0">
            <x v="3"/>
          </reference>
          <reference field="4" count="1">
            <x v="2"/>
          </reference>
        </references>
      </pivotArea>
    </format>
    <format dxfId="278">
      <pivotArea collapsedLevelsAreSubtotals="1" fieldPosition="0">
        <references count="2">
          <reference field="3" count="1" selected="0">
            <x v="3"/>
          </reference>
          <reference field="4" count="1">
            <x v="15"/>
          </reference>
        </references>
      </pivotArea>
    </format>
    <format dxfId="277">
      <pivotArea collapsedLevelsAreSubtotals="1" fieldPosition="0">
        <references count="2">
          <reference field="3" count="1" selected="0">
            <x v="3"/>
          </reference>
          <reference field="4" count="1">
            <x v="17"/>
          </reference>
        </references>
      </pivotArea>
    </format>
    <format dxfId="276">
      <pivotArea collapsedLevelsAreSubtotals="1" fieldPosition="0">
        <references count="2">
          <reference field="3" count="1" selected="0">
            <x v="3"/>
          </reference>
          <reference field="4" count="1">
            <x v="19"/>
          </reference>
        </references>
      </pivotArea>
    </format>
    <format dxfId="275">
      <pivotArea collapsedLevelsAreSubtotals="1" fieldPosition="0">
        <references count="2">
          <reference field="3" count="1" selected="0">
            <x v="3"/>
          </reference>
          <reference field="4" count="1">
            <x v="28"/>
          </reference>
        </references>
      </pivotArea>
    </format>
    <format dxfId="274">
      <pivotArea collapsedLevelsAreSubtotals="1" fieldPosition="0">
        <references count="2">
          <reference field="3" count="1" selected="0">
            <x v="3"/>
          </reference>
          <reference field="4" count="1">
            <x v="37"/>
          </reference>
        </references>
      </pivotArea>
    </format>
    <format dxfId="273">
      <pivotArea collapsedLevelsAreSubtotals="1" fieldPosition="0">
        <references count="2">
          <reference field="3" count="1" selected="0">
            <x v="3"/>
          </reference>
          <reference field="4" count="1">
            <x v="40"/>
          </reference>
        </references>
      </pivotArea>
    </format>
    <format dxfId="272">
      <pivotArea collapsedLevelsAreSubtotals="1" fieldPosition="0">
        <references count="1">
          <reference field="3" count="1">
            <x v="4"/>
          </reference>
        </references>
      </pivotArea>
    </format>
    <format dxfId="271">
      <pivotArea collapsedLevelsAreSubtotals="1" fieldPosition="0">
        <references count="2">
          <reference field="3" count="1" selected="0">
            <x v="4"/>
          </reference>
          <reference field="4" count="1">
            <x v="5"/>
          </reference>
        </references>
      </pivotArea>
    </format>
    <format dxfId="270">
      <pivotArea collapsedLevelsAreSubtotals="1" fieldPosition="0">
        <references count="2">
          <reference field="3" count="1" selected="0">
            <x v="4"/>
          </reference>
          <reference field="4" count="1">
            <x v="7"/>
          </reference>
        </references>
      </pivotArea>
    </format>
    <format dxfId="269">
      <pivotArea collapsedLevelsAreSubtotals="1" fieldPosition="0">
        <references count="2">
          <reference field="3" count="1" selected="0">
            <x v="4"/>
          </reference>
          <reference field="4" count="1">
            <x v="10"/>
          </reference>
        </references>
      </pivotArea>
    </format>
    <format dxfId="268">
      <pivotArea collapsedLevelsAreSubtotals="1" fieldPosition="0">
        <references count="2">
          <reference field="3" count="1" selected="0">
            <x v="4"/>
          </reference>
          <reference field="4" count="1">
            <x v="14"/>
          </reference>
        </references>
      </pivotArea>
    </format>
    <format dxfId="267">
      <pivotArea collapsedLevelsAreSubtotals="1" fieldPosition="0">
        <references count="2">
          <reference field="3" count="1" selected="0">
            <x v="4"/>
          </reference>
          <reference field="4" count="1">
            <x v="23"/>
          </reference>
        </references>
      </pivotArea>
    </format>
    <format dxfId="266">
      <pivotArea collapsedLevelsAreSubtotals="1" fieldPosition="0">
        <references count="2">
          <reference field="3" count="1" selected="0">
            <x v="4"/>
          </reference>
          <reference field="4" count="1">
            <x v="24"/>
          </reference>
        </references>
      </pivotArea>
    </format>
    <format dxfId="265">
      <pivotArea collapsedLevelsAreSubtotals="1" fieldPosition="0">
        <references count="2">
          <reference field="3" count="1" selected="0">
            <x v="4"/>
          </reference>
          <reference field="4" count="1">
            <x v="34"/>
          </reference>
        </references>
      </pivotArea>
    </format>
    <format dxfId="264">
      <pivotArea collapsedLevelsAreSubtotals="1" fieldPosition="0">
        <references count="2">
          <reference field="3" count="1" selected="0">
            <x v="4"/>
          </reference>
          <reference field="4" count="1">
            <x v="35"/>
          </reference>
        </references>
      </pivotArea>
    </format>
    <format dxfId="263">
      <pivotArea collapsedLevelsAreSubtotals="1" fieldPosition="0">
        <references count="1">
          <reference field="3" count="1">
            <x v="0"/>
          </reference>
        </references>
      </pivotArea>
    </format>
    <format dxfId="262">
      <pivotArea collapsedLevelsAreSubtotals="1" fieldPosition="0">
        <references count="2">
          <reference field="3" count="1" selected="0">
            <x v="0"/>
          </reference>
          <reference field="4" count="1">
            <x v="3"/>
          </reference>
        </references>
      </pivotArea>
    </format>
    <format dxfId="261">
      <pivotArea collapsedLevelsAreSubtotals="1" fieldPosition="0">
        <references count="2">
          <reference field="3" count="1" selected="0">
            <x v="0"/>
          </reference>
          <reference field="4" count="1">
            <x v="4"/>
          </reference>
        </references>
      </pivotArea>
    </format>
    <format dxfId="260">
      <pivotArea collapsedLevelsAreSubtotals="1" fieldPosition="0">
        <references count="2">
          <reference field="3" count="1" selected="0">
            <x v="0"/>
          </reference>
          <reference field="4" count="1">
            <x v="8"/>
          </reference>
        </references>
      </pivotArea>
    </format>
    <format dxfId="259">
      <pivotArea collapsedLevelsAreSubtotals="1" fieldPosition="0">
        <references count="2">
          <reference field="3" count="1" selected="0">
            <x v="0"/>
          </reference>
          <reference field="4" count="1">
            <x v="11"/>
          </reference>
        </references>
      </pivotArea>
    </format>
    <format dxfId="258">
      <pivotArea collapsedLevelsAreSubtotals="1" fieldPosition="0">
        <references count="2">
          <reference field="3" count="1" selected="0">
            <x v="0"/>
          </reference>
          <reference field="4" count="1">
            <x v="26"/>
          </reference>
        </references>
      </pivotArea>
    </format>
    <format dxfId="257">
      <pivotArea collapsedLevelsAreSubtotals="1" fieldPosition="0">
        <references count="2">
          <reference field="3" count="1" selected="0">
            <x v="0"/>
          </reference>
          <reference field="4" count="1">
            <x v="39"/>
          </reference>
        </references>
      </pivotArea>
    </format>
    <format dxfId="256">
      <pivotArea collapsedLevelsAreSubtotals="1" fieldPosition="0">
        <references count="1">
          <reference field="3" count="1">
            <x v="7"/>
          </reference>
        </references>
      </pivotArea>
    </format>
    <format dxfId="255">
      <pivotArea collapsedLevelsAreSubtotals="1" fieldPosition="0">
        <references count="2">
          <reference field="3" count="1" selected="0">
            <x v="7"/>
          </reference>
          <reference field="4" count="1">
            <x v="6"/>
          </reference>
        </references>
      </pivotArea>
    </format>
    <format dxfId="254">
      <pivotArea collapsedLevelsAreSubtotals="1" fieldPosition="0">
        <references count="2">
          <reference field="3" count="1" selected="0">
            <x v="7"/>
          </reference>
          <reference field="4" count="1">
            <x v="16"/>
          </reference>
        </references>
      </pivotArea>
    </format>
    <format dxfId="253">
      <pivotArea collapsedLevelsAreSubtotals="1" fieldPosition="0">
        <references count="2">
          <reference field="3" count="1" selected="0">
            <x v="7"/>
          </reference>
          <reference field="4" count="1">
            <x v="36"/>
          </reference>
        </references>
      </pivotArea>
    </format>
    <format dxfId="252">
      <pivotArea collapsedLevelsAreSubtotals="1" fieldPosition="0">
        <references count="1">
          <reference field="3" count="1">
            <x v="1"/>
          </reference>
        </references>
      </pivotArea>
    </format>
    <format dxfId="251">
      <pivotArea collapsedLevelsAreSubtotals="1" fieldPosition="0">
        <references count="2">
          <reference field="3" count="1" selected="0">
            <x v="1"/>
          </reference>
          <reference field="4" count="1">
            <x v="9"/>
          </reference>
        </references>
      </pivotArea>
    </format>
    <format dxfId="250">
      <pivotArea collapsedLevelsAreSubtotals="1" fieldPosition="0">
        <references count="2">
          <reference field="3" count="1" selected="0">
            <x v="1"/>
          </reference>
          <reference field="4" count="1">
            <x v="12"/>
          </reference>
        </references>
      </pivotArea>
    </format>
    <format dxfId="249">
      <pivotArea collapsedLevelsAreSubtotals="1" fieldPosition="0">
        <references count="1">
          <reference field="3" count="1">
            <x v="2"/>
          </reference>
        </references>
      </pivotArea>
    </format>
    <format dxfId="248">
      <pivotArea collapsedLevelsAreSubtotals="1" fieldPosition="0">
        <references count="2">
          <reference field="3" count="1" selected="0">
            <x v="2"/>
          </reference>
          <reference field="4" count="1">
            <x v="0"/>
          </reference>
        </references>
      </pivotArea>
    </format>
    <format dxfId="247">
      <pivotArea collapsedLevelsAreSubtotals="1" fieldPosition="0">
        <references count="1">
          <reference field="3" count="1">
            <x v="5"/>
          </reference>
        </references>
      </pivotArea>
    </format>
    <format dxfId="246">
      <pivotArea collapsedLevelsAreSubtotals="1" fieldPosition="0">
        <references count="2">
          <reference field="3" count="1" selected="0">
            <x v="5"/>
          </reference>
          <reference field="4" count="1">
            <x v="25"/>
          </reference>
        </references>
      </pivotArea>
    </format>
    <format dxfId="245">
      <pivotArea collapsedLevelsAreSubtotals="1" fieldPosition="0">
        <references count="3">
          <reference field="1" count="1">
            <x v="6"/>
          </reference>
          <reference field="3" count="1" selected="0">
            <x v="5"/>
          </reference>
          <reference field="4" count="1" selected="0">
            <x v="25"/>
          </reference>
        </references>
      </pivotArea>
    </format>
    <format dxfId="244">
      <pivotArea dataOnly="0" labelOnly="1" fieldPosition="0">
        <references count="1">
          <reference field="3" count="0"/>
        </references>
      </pivotArea>
    </format>
    <format dxfId="243">
      <pivotArea dataOnly="0" labelOnly="1" fieldPosition="0">
        <references count="2">
          <reference field="3" count="1" selected="0">
            <x v="6"/>
          </reference>
          <reference field="4" count="11">
            <x v="13"/>
            <x v="18"/>
            <x v="20"/>
            <x v="21"/>
            <x v="22"/>
            <x v="27"/>
            <x v="30"/>
            <x v="32"/>
            <x v="33"/>
            <x v="38"/>
            <x v="42"/>
          </reference>
        </references>
      </pivotArea>
    </format>
    <format dxfId="242">
      <pivotArea dataOnly="0" labelOnly="1" fieldPosition="0">
        <references count="2">
          <reference field="3" count="1" selected="0">
            <x v="3"/>
          </reference>
          <reference field="4" count="8">
            <x v="1"/>
            <x v="2"/>
            <x v="15"/>
            <x v="17"/>
            <x v="19"/>
            <x v="28"/>
            <x v="37"/>
            <x v="40"/>
          </reference>
        </references>
      </pivotArea>
    </format>
    <format dxfId="241">
      <pivotArea dataOnly="0" labelOnly="1" fieldPosition="0">
        <references count="2">
          <reference field="3" count="1" selected="0">
            <x v="4"/>
          </reference>
          <reference field="4" count="8">
            <x v="5"/>
            <x v="7"/>
            <x v="10"/>
            <x v="14"/>
            <x v="23"/>
            <x v="24"/>
            <x v="34"/>
            <x v="35"/>
          </reference>
        </references>
      </pivotArea>
    </format>
    <format dxfId="240">
      <pivotArea dataOnly="0" labelOnly="1" fieldPosition="0">
        <references count="2">
          <reference field="3" count="1" selected="0">
            <x v="0"/>
          </reference>
          <reference field="4" count="6">
            <x v="3"/>
            <x v="4"/>
            <x v="8"/>
            <x v="11"/>
            <x v="26"/>
            <x v="39"/>
          </reference>
        </references>
      </pivotArea>
    </format>
    <format dxfId="239">
      <pivotArea dataOnly="0" labelOnly="1" fieldPosition="0">
        <references count="2">
          <reference field="3" count="1" selected="0">
            <x v="7"/>
          </reference>
          <reference field="4" count="3">
            <x v="6"/>
            <x v="16"/>
            <x v="36"/>
          </reference>
        </references>
      </pivotArea>
    </format>
    <format dxfId="238">
      <pivotArea dataOnly="0" labelOnly="1" fieldPosition="0">
        <references count="2">
          <reference field="3" count="1" selected="0">
            <x v="1"/>
          </reference>
          <reference field="4" count="2">
            <x v="9"/>
            <x v="12"/>
          </reference>
        </references>
      </pivotArea>
    </format>
    <format dxfId="237">
      <pivotArea dataOnly="0" labelOnly="1" fieldPosition="0">
        <references count="2">
          <reference field="3" count="1" selected="0">
            <x v="2"/>
          </reference>
          <reference field="4" count="1">
            <x v="0"/>
          </reference>
        </references>
      </pivotArea>
    </format>
    <format dxfId="236">
      <pivotArea dataOnly="0" labelOnly="1" fieldPosition="0">
        <references count="2">
          <reference field="3" count="1" selected="0">
            <x v="5"/>
          </reference>
          <reference field="4" count="1">
            <x v="25"/>
          </reference>
        </references>
      </pivotArea>
    </format>
    <format dxfId="235">
      <pivotArea dataOnly="0" labelOnly="1" fieldPosition="0">
        <references count="3">
          <reference field="1" count="1">
            <x v="6"/>
          </reference>
          <reference field="3" count="1" selected="0">
            <x v="5"/>
          </reference>
          <reference field="4" count="1" selected="0">
            <x v="25"/>
          </reference>
        </references>
      </pivotArea>
    </format>
  </formats>
  <pivotTableStyleInfo name="PivotStyleLight13"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400-000001000000}" name="TablaDinámica2" cacheId="4"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location ref="A3:B46" firstHeaderRow="1" firstDataRow="1" firstDataCol="1"/>
  <pivotFields count="7">
    <pivotField showAll="0" defaultSubtotal="0"/>
    <pivotField axis="axisRow" numFmtId="1" multipleItemSelectionAllowed="1" showAll="0" sortType="descending" defaultSubtotal="0">
      <items count="2">
        <item x="1"/>
        <item h="1" x="0"/>
      </items>
    </pivotField>
    <pivotField showAll="0"/>
    <pivotField showAll="0"/>
    <pivotField showAll="0" defaultSubtotal="0"/>
    <pivotField axis="axisRow" showAll="0" defaultSubtotal="0">
      <items count="11">
        <item x="8"/>
        <item sd="0" x="4"/>
        <item sd="0" x="6"/>
        <item sd="0" x="2"/>
        <item x="3"/>
        <item x="7"/>
        <item m="1" x="10"/>
        <item x="0"/>
        <item x="5"/>
        <item m="1" x="9"/>
        <item x="1"/>
      </items>
    </pivotField>
    <pivotField axis="axisRow" dataField="1" showAll="0" defaultSubtotal="0">
      <items count="46">
        <item x="31"/>
        <item x="0"/>
        <item x="42"/>
        <item x="38"/>
        <item x="18"/>
        <item x="13"/>
        <item x="12"/>
        <item x="26"/>
        <item x="35"/>
        <item x="15"/>
        <item x="37"/>
        <item x="4"/>
        <item x="30"/>
        <item x="3"/>
        <item x="14"/>
        <item x="2"/>
        <item x="40"/>
        <item x="10"/>
        <item x="20"/>
        <item x="36"/>
        <item x="19"/>
        <item x="9"/>
        <item x="7"/>
        <item x="32"/>
        <item x="41"/>
        <item x="27"/>
        <item x="23"/>
        <item x="16"/>
        <item x="29"/>
        <item x="34"/>
        <item x="11"/>
        <item x="25"/>
        <item x="28"/>
        <item x="33"/>
        <item x="24"/>
        <item x="43"/>
        <item x="5"/>
        <item x="39"/>
        <item x="17"/>
        <item x="21"/>
        <item x="8"/>
        <item x="1"/>
        <item x="6"/>
        <item x="45"/>
        <item x="44"/>
        <item x="22"/>
      </items>
    </pivotField>
  </pivotFields>
  <rowFields count="3">
    <field x="1"/>
    <field x="5"/>
    <field x="6"/>
  </rowFields>
  <rowItems count="43">
    <i>
      <x/>
    </i>
    <i r="1">
      <x/>
    </i>
    <i r="2">
      <x v="39"/>
    </i>
    <i r="1">
      <x v="1"/>
    </i>
    <i r="1">
      <x v="2"/>
    </i>
    <i r="1">
      <x v="3"/>
    </i>
    <i r="1">
      <x v="4"/>
    </i>
    <i r="2">
      <x v="19"/>
    </i>
    <i r="2">
      <x v="34"/>
    </i>
    <i r="2">
      <x v="36"/>
    </i>
    <i r="2">
      <x v="44"/>
    </i>
    <i r="1">
      <x v="5"/>
    </i>
    <i r="2">
      <x v="2"/>
    </i>
    <i r="2">
      <x v="3"/>
    </i>
    <i r="1">
      <x v="7"/>
    </i>
    <i r="2">
      <x v="1"/>
    </i>
    <i r="2">
      <x v="5"/>
    </i>
    <i r="2">
      <x v="6"/>
    </i>
    <i r="2">
      <x v="12"/>
    </i>
    <i r="2">
      <x v="14"/>
    </i>
    <i r="2">
      <x v="18"/>
    </i>
    <i r="2">
      <x v="20"/>
    </i>
    <i r="2">
      <x v="25"/>
    </i>
    <i r="2">
      <x v="31"/>
    </i>
    <i r="2">
      <x v="34"/>
    </i>
    <i r="2">
      <x v="37"/>
    </i>
    <i r="2">
      <x v="38"/>
    </i>
    <i r="2">
      <x v="41"/>
    </i>
    <i r="2">
      <x v="43"/>
    </i>
    <i r="1">
      <x v="8"/>
    </i>
    <i r="2">
      <x v="23"/>
    </i>
    <i r="2">
      <x v="30"/>
    </i>
    <i r="1">
      <x v="10"/>
    </i>
    <i r="2">
      <x/>
    </i>
    <i r="2">
      <x v="4"/>
    </i>
    <i r="2">
      <x v="8"/>
    </i>
    <i r="2">
      <x v="9"/>
    </i>
    <i r="2">
      <x v="10"/>
    </i>
    <i r="2">
      <x v="15"/>
    </i>
    <i r="2">
      <x v="35"/>
    </i>
    <i r="2">
      <x v="40"/>
    </i>
    <i r="2">
      <x v="42"/>
    </i>
    <i t="grand">
      <x/>
    </i>
  </rowItems>
  <colItems count="1">
    <i/>
  </colItems>
  <dataFields count="1">
    <dataField name="Cuenta de SUBCLASIFICACIÓN" fld="6" subtotal="count" baseField="0" baseItem="0"/>
  </dataFields>
  <formats count="8">
    <format dxfId="346">
      <pivotArea type="all" dataOnly="0" outline="0" fieldPosition="0"/>
    </format>
    <format dxfId="345">
      <pivotArea type="all" dataOnly="0" outline="0" fieldPosition="0"/>
    </format>
    <format dxfId="344">
      <pivotArea outline="0" collapsedLevelsAreSubtotals="1" fieldPosition="0"/>
    </format>
    <format dxfId="343">
      <pivotArea dataOnly="0" labelOnly="1" outline="0" axis="axisValues" fieldPosition="0"/>
    </format>
    <format dxfId="342">
      <pivotArea dataOnly="0" labelOnly="1" grandRow="1" outline="0" fieldPosition="0"/>
    </format>
    <format dxfId="341">
      <pivotArea outline="0" collapsedLevelsAreSubtotals="1" fieldPosition="0"/>
    </format>
    <format dxfId="340">
      <pivotArea dataOnly="0" labelOnly="1" outline="0" axis="axisValues" fieldPosition="0"/>
    </format>
    <format dxfId="339">
      <pivotArea dataOnly="0" labelOnly="1" outline="0" axis="axisValues" fieldPosition="0"/>
    </format>
  </formats>
  <pivotTableStyleInfo name="PivotStyleLight13"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Dinámica1"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39" firstHeaderRow="1" firstDataRow="1" firstDataCol="1"/>
  <pivotFields count="4">
    <pivotField axis="axisRow" showAll="0">
      <items count="23">
        <item x="21"/>
        <item x="0"/>
        <item x="1"/>
        <item x="2"/>
        <item x="3"/>
        <item x="4"/>
        <item x="5"/>
        <item x="6"/>
        <item x="7"/>
        <item x="10"/>
        <item x="11"/>
        <item x="18"/>
        <item x="12"/>
        <item x="19"/>
        <item x="13"/>
        <item x="14"/>
        <item x="15"/>
        <item x="16"/>
        <item x="17"/>
        <item x="20"/>
        <item x="9"/>
        <item x="8"/>
        <item t="default"/>
      </items>
    </pivotField>
    <pivotField showAll="0"/>
    <pivotField axis="axisRow" showAll="0" sortType="descending">
      <items count="10">
        <item x="0"/>
        <item x="4"/>
        <item x="1"/>
        <item x="2"/>
        <item x="3"/>
        <item x="5"/>
        <item x="6"/>
        <item m="1" x="8"/>
        <item m="1" x="7"/>
        <item t="default"/>
      </items>
      <autoSortScope>
        <pivotArea dataOnly="0" outline="0" fieldPosition="0">
          <references count="1">
            <reference field="4294967294" count="1" selected="0">
              <x v="0"/>
            </reference>
          </references>
        </pivotArea>
      </autoSortScope>
    </pivotField>
    <pivotField axis="axisRow" dataField="1" showAll="0">
      <items count="27">
        <item sd="0" x="11"/>
        <item sd="0" x="13"/>
        <item sd="0" x="19"/>
        <item sd="0" x="0"/>
        <item sd="0" x="2"/>
        <item sd="0" x="4"/>
        <item sd="0" x="9"/>
        <item sd="0" x="1"/>
        <item sd="0" x="18"/>
        <item sd="0" x="25"/>
        <item sd="0" x="8"/>
        <item sd="0" x="6"/>
        <item sd="0" x="21"/>
        <item sd="0" x="12"/>
        <item sd="0" x="23"/>
        <item sd="0" x="7"/>
        <item sd="0" x="16"/>
        <item sd="0" x="20"/>
        <item sd="0" x="3"/>
        <item sd="0" x="5"/>
        <item sd="0" x="15"/>
        <item sd="0" x="10"/>
        <item sd="0" x="17"/>
        <item sd="0" x="24"/>
        <item sd="0" x="22"/>
        <item sd="0" x="14"/>
        <item t="default"/>
      </items>
    </pivotField>
  </pivotFields>
  <rowFields count="3">
    <field x="2"/>
    <field x="3"/>
    <field x="0"/>
  </rowFields>
  <rowItems count="36">
    <i>
      <x v="5"/>
    </i>
    <i r="1">
      <x v="6"/>
    </i>
    <i r="1">
      <x v="16"/>
    </i>
    <i r="1">
      <x v="17"/>
    </i>
    <i r="1">
      <x v="21"/>
    </i>
    <i r="1">
      <x v="25"/>
    </i>
    <i>
      <x v="2"/>
    </i>
    <i r="1">
      <x v="7"/>
    </i>
    <i r="1">
      <x v="13"/>
    </i>
    <i r="1">
      <x v="14"/>
    </i>
    <i r="1">
      <x v="15"/>
    </i>
    <i r="1">
      <x v="19"/>
    </i>
    <i>
      <x v="4"/>
    </i>
    <i r="1">
      <x v="5"/>
    </i>
    <i r="1">
      <x v="8"/>
    </i>
    <i r="1">
      <x v="13"/>
    </i>
    <i r="1">
      <x v="15"/>
    </i>
    <i r="1">
      <x v="22"/>
    </i>
    <i r="1">
      <x v="23"/>
    </i>
    <i>
      <x/>
    </i>
    <i r="1">
      <x v="3"/>
    </i>
    <i r="1">
      <x v="20"/>
    </i>
    <i>
      <x v="1"/>
    </i>
    <i r="1">
      <x v="10"/>
    </i>
    <i r="1">
      <x v="11"/>
    </i>
    <i r="1">
      <x v="12"/>
    </i>
    <i>
      <x v="6"/>
    </i>
    <i r="1">
      <x/>
    </i>
    <i r="1">
      <x v="1"/>
    </i>
    <i r="1">
      <x v="2"/>
    </i>
    <i r="1">
      <x v="24"/>
    </i>
    <i>
      <x v="3"/>
    </i>
    <i r="1">
      <x v="4"/>
    </i>
    <i r="1">
      <x v="9"/>
    </i>
    <i r="1">
      <x v="18"/>
    </i>
    <i t="grand">
      <x/>
    </i>
  </rowItems>
  <colItems count="1">
    <i/>
  </colItems>
  <dataFields count="1">
    <dataField name="Cuenta de SUBCLASIFICACION" fld="3" subtotal="count" baseField="0" baseItem="0"/>
  </dataFields>
  <formats count="7">
    <format dxfId="213">
      <pivotArea type="all" dataOnly="0" outline="0" fieldPosition="0"/>
    </format>
    <format dxfId="212">
      <pivotArea type="all" dataOnly="0" outline="0" fieldPosition="0"/>
    </format>
    <format dxfId="211">
      <pivotArea outline="0" collapsedLevelsAreSubtotals="1" fieldPosition="0"/>
    </format>
    <format dxfId="210">
      <pivotArea field="2" type="button" dataOnly="0" labelOnly="1" outline="0" axis="axisRow" fieldPosition="0"/>
    </format>
    <format dxfId="209">
      <pivotArea dataOnly="0" labelOnly="1" outline="0" axis="axisValues" fieldPosition="0"/>
    </format>
    <format dxfId="208">
      <pivotArea dataOnly="0" labelOnly="1" fieldPosition="0">
        <references count="1">
          <reference field="2" count="0"/>
        </references>
      </pivotArea>
    </format>
    <format dxfId="207">
      <pivotArea dataOnly="0" labelOnly="1" grandRow="1" outline="0" fieldPosition="0"/>
    </format>
  </formats>
  <pivotTableStyleInfo name="PivotStyleLight13"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500-000001000000}" name="TablaDinámica2" cacheId="3" applyNumberFormats="0" applyBorderFormats="0" applyFontFormats="0" applyPatternFormats="0" applyAlignmentFormats="0" applyWidthHeightFormats="1" dataCaption="Valores" updatedVersion="7" minRefreshableVersion="3" useAutoFormatting="1" itemPrintTitles="1" createdVersion="6" indent="0" outline="1" outlineData="1" multipleFieldFilters="0">
  <location ref="C3:D35" firstHeaderRow="1" firstDataRow="1" firstDataCol="1"/>
  <pivotFields count="5">
    <pivotField axis="axisRow" showAll="0">
      <items count="5">
        <item h="1" x="0"/>
        <item h="1" x="1"/>
        <item x="2"/>
        <item h="1" x="3"/>
        <item t="default"/>
      </items>
    </pivotField>
    <pivotField axis="axisRow" showAll="0">
      <items count="27">
        <item sd="0" x="20"/>
        <item sd="0" x="17"/>
        <item sd="0" x="10"/>
        <item sd="0" x="19"/>
        <item sd="0" x="16"/>
        <item sd="0" x="1"/>
        <item sd="0" x="14"/>
        <item sd="0" x="4"/>
        <item sd="0" x="11"/>
        <item sd="0" x="3"/>
        <item sd="0" x="5"/>
        <item sd="0" x="6"/>
        <item sd="0" x="12"/>
        <item sd="0" x="8"/>
        <item sd="0" x="9"/>
        <item sd="0" x="15"/>
        <item sd="0" x="0"/>
        <item x="2"/>
        <item sd="0" x="7"/>
        <item sd="0" x="13"/>
        <item x="18"/>
        <item sd="0" x="21"/>
        <item sd="0" x="22"/>
        <item x="23"/>
        <item x="24"/>
        <item sd="0" x="25"/>
        <item t="default"/>
      </items>
    </pivotField>
    <pivotField showAll="0" defaultSubtotal="0"/>
    <pivotField axis="axisRow" showAll="0" sortType="descending">
      <items count="18">
        <item x="0"/>
        <item x="1"/>
        <item x="2"/>
        <item x="3"/>
        <item x="4"/>
        <item x="5"/>
        <item x="6"/>
        <item x="7"/>
        <item x="8"/>
        <item x="9"/>
        <item x="10"/>
        <item x="11"/>
        <item x="12"/>
        <item x="13"/>
        <item x="14"/>
        <item m="1" x="15"/>
        <item m="1" x="16"/>
        <item t="default"/>
      </items>
      <autoSortScope>
        <pivotArea dataOnly="0" outline="0" fieldPosition="0">
          <references count="1">
            <reference field="4294967294" count="1" selected="0">
              <x v="0"/>
            </reference>
          </references>
        </pivotArea>
      </autoSortScope>
    </pivotField>
    <pivotField axis="axisRow" dataField="1" showAll="0" sortType="descending">
      <items count="73">
        <item sd="0" x="25"/>
        <item sd="0" x="11"/>
        <item sd="0" x="59"/>
        <item sd="0" x="39"/>
        <item sd="0" x="0"/>
        <item sd="0" x="1"/>
        <item sd="0" x="2"/>
        <item x="3"/>
        <item sd="0" x="4"/>
        <item x="5"/>
        <item sd="0" x="6"/>
        <item sd="0" x="7"/>
        <item sd="0" x="8"/>
        <item sd="0" x="9"/>
        <item x="10"/>
        <item x="12"/>
        <item sd="0" x="40"/>
        <item sd="0" x="13"/>
        <item sd="0" x="15"/>
        <item sd="0" x="16"/>
        <item sd="0" x="17"/>
        <item sd="0" x="18"/>
        <item sd="0" x="19"/>
        <item sd="0" x="20"/>
        <item sd="0" x="21"/>
        <item x="22"/>
        <item x="23"/>
        <item x="24"/>
        <item sd="0" x="26"/>
        <item sd="0" x="27"/>
        <item x="28"/>
        <item sd="0" x="29"/>
        <item sd="0" x="30"/>
        <item sd="0" x="31"/>
        <item x="14"/>
        <item sd="0" x="32"/>
        <item x="33"/>
        <item x="34"/>
        <item sd="0" x="35"/>
        <item x="36"/>
        <item x="37"/>
        <item sd="0" x="42"/>
        <item sd="0" x="38"/>
        <item sd="0" x="41"/>
        <item x="44"/>
        <item x="46"/>
        <item sd="0" x="47"/>
        <item sd="0" x="48"/>
        <item sd="0" x="49"/>
        <item sd="0" x="50"/>
        <item sd="0" x="51"/>
        <item sd="0" x="52"/>
        <item sd="0" x="53"/>
        <item sd="0" x="54"/>
        <item sd="0" x="55"/>
        <item sd="0" x="56"/>
        <item sd="0" x="57"/>
        <item sd="0" x="58"/>
        <item sd="0" x="60"/>
        <item sd="0" x="61"/>
        <item sd="0" x="62"/>
        <item sd="0" x="63"/>
        <item sd="0" x="64"/>
        <item sd="0" x="66"/>
        <item sd="0" x="65"/>
        <item x="67"/>
        <item x="68"/>
        <item x="69"/>
        <item x="70"/>
        <item x="71"/>
        <item x="43"/>
        <item x="45"/>
        <item t="default"/>
      </items>
      <autoSortScope>
        <pivotArea dataOnly="0" outline="0" fieldPosition="0">
          <references count="1">
            <reference field="4294967294" count="1" selected="0">
              <x v="0"/>
            </reference>
          </references>
        </pivotArea>
      </autoSortScope>
    </pivotField>
  </pivotFields>
  <rowFields count="4">
    <field x="3"/>
    <field x="4"/>
    <field x="1"/>
    <field x="0"/>
  </rowFields>
  <rowItems count="32">
    <i>
      <x v="12"/>
    </i>
    <i r="1">
      <x v="55"/>
    </i>
    <i r="1">
      <x v="52"/>
    </i>
    <i r="1">
      <x v="50"/>
    </i>
    <i r="1">
      <x v="61"/>
    </i>
    <i>
      <x v="8"/>
    </i>
    <i r="1">
      <x/>
    </i>
    <i r="1">
      <x v="2"/>
    </i>
    <i r="1">
      <x v="53"/>
    </i>
    <i r="1">
      <x v="64"/>
    </i>
    <i r="1">
      <x v="48"/>
    </i>
    <i>
      <x v="14"/>
    </i>
    <i r="1">
      <x v="59"/>
    </i>
    <i r="1">
      <x v="56"/>
    </i>
    <i r="1">
      <x v="60"/>
    </i>
    <i>
      <x v="11"/>
    </i>
    <i r="1">
      <x v="49"/>
    </i>
    <i r="1">
      <x v="54"/>
    </i>
    <i>
      <x v="10"/>
    </i>
    <i r="1">
      <x v="58"/>
    </i>
    <i r="1">
      <x v="32"/>
    </i>
    <i r="1">
      <x v="3"/>
    </i>
    <i r="1">
      <x v="47"/>
    </i>
    <i>
      <x v="13"/>
    </i>
    <i r="1">
      <x v="1"/>
    </i>
    <i r="1">
      <x v="62"/>
    </i>
    <i r="1">
      <x v="51"/>
    </i>
    <i>
      <x v="9"/>
    </i>
    <i r="1">
      <x v="19"/>
    </i>
    <i r="1">
      <x v="46"/>
    </i>
    <i r="1">
      <x v="57"/>
    </i>
    <i t="grand">
      <x/>
    </i>
  </rowItems>
  <colItems count="1">
    <i/>
  </colItems>
  <dataFields count="1">
    <dataField name="Cuenta de SUBCLASIFICACION" fld="4" subtotal="count" baseField="0" baseItem="0"/>
  </dataFields>
  <formats count="21">
    <format dxfId="234">
      <pivotArea type="all" dataOnly="0" outline="0" fieldPosition="0"/>
    </format>
    <format dxfId="233">
      <pivotArea type="all" dataOnly="0" outline="0" fieldPosition="0"/>
    </format>
    <format dxfId="232">
      <pivotArea field="3" type="button" dataOnly="0" labelOnly="1" outline="0" axis="axisRow" fieldPosition="0"/>
    </format>
    <format dxfId="231">
      <pivotArea dataOnly="0" labelOnly="1" outline="0" axis="axisValues" fieldPosition="0"/>
    </format>
    <format dxfId="230">
      <pivotArea dataOnly="0" labelOnly="1" fieldPosition="0">
        <references count="1">
          <reference field="3" count="0"/>
        </references>
      </pivotArea>
    </format>
    <format dxfId="229">
      <pivotArea collapsedLevelsAreSubtotals="1" fieldPosition="0">
        <references count="2">
          <reference field="3" count="1" selected="0">
            <x v="12"/>
          </reference>
          <reference field="4" count="1">
            <x v="61"/>
          </reference>
        </references>
      </pivotArea>
    </format>
    <format dxfId="228">
      <pivotArea collapsedLevelsAreSubtotals="1" fieldPosition="0">
        <references count="2">
          <reference field="3" count="1" selected="0">
            <x v="8"/>
          </reference>
          <reference field="4" count="1">
            <x v="48"/>
          </reference>
        </references>
      </pivotArea>
    </format>
    <format dxfId="227">
      <pivotArea collapsedLevelsAreSubtotals="1" fieldPosition="0">
        <references count="2">
          <reference field="3" count="1" selected="0">
            <x v="14"/>
          </reference>
          <reference field="4" count="1">
            <x v="60"/>
          </reference>
        </references>
      </pivotArea>
    </format>
    <format dxfId="226">
      <pivotArea collapsedLevelsAreSubtotals="1" fieldPosition="0">
        <references count="2">
          <reference field="3" count="1" selected="0">
            <x v="11"/>
          </reference>
          <reference field="4" count="1">
            <x v="54"/>
          </reference>
        </references>
      </pivotArea>
    </format>
    <format dxfId="225">
      <pivotArea collapsedLevelsAreSubtotals="1" fieldPosition="0">
        <references count="2">
          <reference field="3" count="1" selected="0">
            <x v="10"/>
          </reference>
          <reference field="4" count="1">
            <x v="47"/>
          </reference>
        </references>
      </pivotArea>
    </format>
    <format dxfId="224">
      <pivotArea collapsedLevelsAreSubtotals="1" fieldPosition="0">
        <references count="2">
          <reference field="3" count="1" selected="0">
            <x v="13"/>
          </reference>
          <reference field="4" count="1">
            <x v="51"/>
          </reference>
        </references>
      </pivotArea>
    </format>
    <format dxfId="223">
      <pivotArea outline="0" collapsedLevelsAreSubtotals="1" fieldPosition="0"/>
    </format>
    <format dxfId="222">
      <pivotArea dataOnly="0" labelOnly="1" fieldPosition="0">
        <references count="1">
          <reference field="3" count="7">
            <x v="8"/>
            <x v="9"/>
            <x v="10"/>
            <x v="11"/>
            <x v="12"/>
            <x v="13"/>
            <x v="14"/>
          </reference>
        </references>
      </pivotArea>
    </format>
    <format dxfId="221">
      <pivotArea dataOnly="0" labelOnly="1" grandRow="1" outline="0" fieldPosition="0"/>
    </format>
    <format dxfId="220">
      <pivotArea dataOnly="0" labelOnly="1" fieldPosition="0">
        <references count="2">
          <reference field="3" count="1" selected="0">
            <x v="12"/>
          </reference>
          <reference field="4" count="4">
            <x v="50"/>
            <x v="52"/>
            <x v="55"/>
            <x v="61"/>
          </reference>
        </references>
      </pivotArea>
    </format>
    <format dxfId="219">
      <pivotArea dataOnly="0" labelOnly="1" fieldPosition="0">
        <references count="2">
          <reference field="3" count="1" selected="0">
            <x v="8"/>
          </reference>
          <reference field="4" count="5">
            <x v="0"/>
            <x v="2"/>
            <x v="48"/>
            <x v="53"/>
            <x v="64"/>
          </reference>
        </references>
      </pivotArea>
    </format>
    <format dxfId="218">
      <pivotArea dataOnly="0" labelOnly="1" fieldPosition="0">
        <references count="2">
          <reference field="3" count="1" selected="0">
            <x v="14"/>
          </reference>
          <reference field="4" count="3">
            <x v="56"/>
            <x v="59"/>
            <x v="60"/>
          </reference>
        </references>
      </pivotArea>
    </format>
    <format dxfId="217">
      <pivotArea dataOnly="0" labelOnly="1" fieldPosition="0">
        <references count="2">
          <reference field="3" count="1" selected="0">
            <x v="11"/>
          </reference>
          <reference field="4" count="2">
            <x v="49"/>
            <x v="54"/>
          </reference>
        </references>
      </pivotArea>
    </format>
    <format dxfId="216">
      <pivotArea dataOnly="0" labelOnly="1" fieldPosition="0">
        <references count="2">
          <reference field="3" count="1" selected="0">
            <x v="10"/>
          </reference>
          <reference field="4" count="4">
            <x v="3"/>
            <x v="32"/>
            <x v="47"/>
            <x v="58"/>
          </reference>
        </references>
      </pivotArea>
    </format>
    <format dxfId="215">
      <pivotArea dataOnly="0" labelOnly="1" fieldPosition="0">
        <references count="2">
          <reference field="3" count="1" selected="0">
            <x v="13"/>
          </reference>
          <reference field="4" count="3">
            <x v="1"/>
            <x v="51"/>
            <x v="62"/>
          </reference>
        </references>
      </pivotArea>
    </format>
    <format dxfId="214">
      <pivotArea dataOnly="0" labelOnly="1" fieldPosition="0">
        <references count="2">
          <reference field="3" count="1" selected="0">
            <x v="9"/>
          </reference>
          <reference field="4" count="3">
            <x v="19"/>
            <x v="46"/>
            <x v="57"/>
          </reference>
        </references>
      </pivotArea>
    </format>
  </formats>
  <pivotTableStyleInfo name="PivotStyleLight13"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Tabla dinámica2"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location ref="A3:B54" firstHeaderRow="1" firstDataRow="1" firstDataCol="1"/>
  <pivotFields count="4">
    <pivotField axis="axisRow" showAll="0">
      <items count="43">
        <item m="1" x="39"/>
        <item m="1" x="32"/>
        <item m="1" x="22"/>
        <item m="1" x="37"/>
        <item m="1" x="27"/>
        <item m="1" x="36"/>
        <item m="1" x="25"/>
        <item m="1" x="33"/>
        <item m="1" x="31"/>
        <item m="1" x="26"/>
        <item m="1" x="23"/>
        <item m="1" x="38"/>
        <item x="20"/>
        <item m="1" x="29"/>
        <item m="1" x="40"/>
        <item m="1" x="28"/>
        <item m="1" x="30"/>
        <item m="1" x="41"/>
        <item m="1" x="34"/>
        <item m="1" x="21"/>
        <item m="1" x="35"/>
        <item x="18"/>
        <item m="1" x="24"/>
        <item x="2"/>
        <item x="9"/>
        <item x="16"/>
        <item x="1"/>
        <item x="13"/>
        <item x="4"/>
        <item x="19"/>
        <item x="17"/>
        <item x="8"/>
        <item x="15"/>
        <item x="14"/>
        <item x="0"/>
        <item x="10"/>
        <item x="5"/>
        <item x="3"/>
        <item x="6"/>
        <item x="7"/>
        <item x="12"/>
        <item x="11"/>
        <item t="default"/>
      </items>
    </pivotField>
    <pivotField showAll="0"/>
    <pivotField axis="axisRow" showAll="0" sortType="descending">
      <items count="15">
        <item x="1"/>
        <item m="1" x="10"/>
        <item sd="0" m="1" x="8"/>
        <item x="2"/>
        <item x="4"/>
        <item m="1" x="13"/>
        <item x="6"/>
        <item m="1" x="9"/>
        <item x="3"/>
        <item x="5"/>
        <item m="1" x="12"/>
        <item m="1" x="7"/>
        <item m="1" x="11"/>
        <item x="0"/>
        <item t="default"/>
      </items>
      <autoSortScope>
        <pivotArea dataOnly="0" outline="0" fieldPosition="0">
          <references count="1">
            <reference field="4294967294" count="1" selected="0">
              <x v="0"/>
            </reference>
          </references>
        </pivotArea>
      </autoSortScope>
    </pivotField>
    <pivotField axis="axisRow" dataField="1" showAll="0">
      <items count="58">
        <item sd="0" x="8"/>
        <item sd="0" m="1" x="47"/>
        <item sd="0" x="9"/>
        <item sd="0" x="20"/>
        <item sd="0" x="24"/>
        <item sd="0" x="3"/>
        <item sd="0" x="17"/>
        <item m="1" x="50"/>
        <item sd="0" x="5"/>
        <item sd="0" x="2"/>
        <item sd="0" x="21"/>
        <item sd="0" x="11"/>
        <item sd="0" x="16"/>
        <item sd="0" x="7"/>
        <item sd="0" x="1"/>
        <item sd="0" x="15"/>
        <item m="1" x="53"/>
        <item sd="0" x="6"/>
        <item sd="0" x="4"/>
        <item sd="0" x="14"/>
        <item sd="0" x="25"/>
        <item sd="0" m="1" x="51"/>
        <item m="1" x="54"/>
        <item sd="0" x="32"/>
        <item sd="0" m="1" x="48"/>
        <item sd="0" x="30"/>
        <item sd="0" x="28"/>
        <item sd="0" x="19"/>
        <item sd="0" x="26"/>
        <item sd="0" m="1" x="55"/>
        <item m="1" x="43"/>
        <item sd="0" x="39"/>
        <item sd="0" x="22"/>
        <item m="1" x="46"/>
        <item sd="0" x="35"/>
        <item sd="0" x="31"/>
        <item sd="0" x="0"/>
        <item m="1" x="49"/>
        <item m="1" x="45"/>
        <item sd="0" m="1" x="41"/>
        <item m="1" x="52"/>
        <item m="1" x="40"/>
        <item m="1" x="56"/>
        <item sd="0" x="29"/>
        <item sd="0" x="18"/>
        <item sd="0" x="36"/>
        <item sd="0" x="27"/>
        <item sd="0" x="34"/>
        <item sd="0" m="1" x="44"/>
        <item sd="0" m="1" x="42"/>
        <item sd="0" x="10"/>
        <item sd="0" x="12"/>
        <item sd="0" x="13"/>
        <item sd="0" x="23"/>
        <item sd="0" x="33"/>
        <item sd="0" x="37"/>
        <item sd="0" x="38"/>
        <item t="default"/>
      </items>
    </pivotField>
  </pivotFields>
  <rowFields count="3">
    <field x="2"/>
    <field x="3"/>
    <field x="0"/>
  </rowFields>
  <rowItems count="51">
    <i>
      <x v="13"/>
    </i>
    <i r="1">
      <x/>
    </i>
    <i r="1">
      <x v="5"/>
    </i>
    <i r="1">
      <x v="6"/>
    </i>
    <i r="1">
      <x v="8"/>
    </i>
    <i r="1">
      <x v="12"/>
    </i>
    <i r="1">
      <x v="32"/>
    </i>
    <i r="1">
      <x v="35"/>
    </i>
    <i r="1">
      <x v="36"/>
    </i>
    <i r="1">
      <x v="45"/>
    </i>
    <i r="1">
      <x v="46"/>
    </i>
    <i r="1">
      <x v="47"/>
    </i>
    <i>
      <x v="8"/>
    </i>
    <i r="1">
      <x v="2"/>
    </i>
    <i r="1">
      <x v="3"/>
    </i>
    <i r="1">
      <x v="14"/>
    </i>
    <i r="1">
      <x v="17"/>
    </i>
    <i r="1">
      <x v="18"/>
    </i>
    <i r="1">
      <x v="19"/>
    </i>
    <i r="1">
      <x v="28"/>
    </i>
    <i r="1">
      <x v="50"/>
    </i>
    <i r="1">
      <x v="51"/>
    </i>
    <i r="1">
      <x v="53"/>
    </i>
    <i>
      <x/>
    </i>
    <i r="1">
      <x v="4"/>
    </i>
    <i r="1">
      <x v="11"/>
    </i>
    <i r="1">
      <x v="13"/>
    </i>
    <i r="1">
      <x v="14"/>
    </i>
    <i r="1">
      <x v="26"/>
    </i>
    <i r="1">
      <x v="27"/>
    </i>
    <i r="1">
      <x v="55"/>
    </i>
    <i r="1">
      <x v="56"/>
    </i>
    <i>
      <x v="9"/>
    </i>
    <i r="1">
      <x v="10"/>
    </i>
    <i r="1">
      <x v="19"/>
    </i>
    <i r="1">
      <x v="31"/>
    </i>
    <i r="1">
      <x v="34"/>
    </i>
    <i r="1">
      <x v="44"/>
    </i>
    <i r="1">
      <x v="52"/>
    </i>
    <i r="1">
      <x v="54"/>
    </i>
    <i>
      <x v="3"/>
    </i>
    <i r="1">
      <x v="9"/>
    </i>
    <i r="1">
      <x v="20"/>
    </i>
    <i r="1">
      <x v="23"/>
    </i>
    <i r="1">
      <x v="25"/>
    </i>
    <i>
      <x v="4"/>
    </i>
    <i r="1">
      <x v="2"/>
    </i>
    <i>
      <x v="6"/>
    </i>
    <i r="1">
      <x v="15"/>
    </i>
    <i r="1">
      <x v="43"/>
    </i>
    <i t="grand">
      <x/>
    </i>
  </rowItems>
  <colItems count="1">
    <i/>
  </colItems>
  <dataFields count="1">
    <dataField name="Cuenta de SUBCLASIFICACION" fld="3" subtotal="count" baseField="0" baseItem="0"/>
  </dataFields>
  <formats count="65">
    <format dxfId="118">
      <pivotArea type="all" dataOnly="0" outline="0" fieldPosition="0"/>
    </format>
    <format dxfId="117">
      <pivotArea type="all" dataOnly="0" outline="0" fieldPosition="0"/>
    </format>
    <format dxfId="116">
      <pivotArea outline="0" collapsedLevelsAreSubtotals="1" fieldPosition="0"/>
    </format>
    <format dxfId="115">
      <pivotArea field="2" type="button" dataOnly="0" labelOnly="1" outline="0" axis="axisRow" fieldPosition="0"/>
    </format>
    <format dxfId="114">
      <pivotArea dataOnly="0" labelOnly="1" outline="0" axis="axisValues" fieldPosition="0"/>
    </format>
    <format dxfId="113">
      <pivotArea dataOnly="0" labelOnly="1" fieldPosition="0">
        <references count="1">
          <reference field="2" count="0"/>
        </references>
      </pivotArea>
    </format>
    <format dxfId="112">
      <pivotArea dataOnly="0" labelOnly="1" grandRow="1" outline="0" fieldPosition="0"/>
    </format>
    <format dxfId="111">
      <pivotArea collapsedLevelsAreSubtotals="1" fieldPosition="0">
        <references count="1">
          <reference field="2" count="1">
            <x v="13"/>
          </reference>
        </references>
      </pivotArea>
    </format>
    <format dxfId="110">
      <pivotArea collapsedLevelsAreSubtotals="1" fieldPosition="0">
        <references count="2">
          <reference field="2" count="1" selected="0">
            <x v="13"/>
          </reference>
          <reference field="3" count="1">
            <x v="0"/>
          </reference>
        </references>
      </pivotArea>
    </format>
    <format dxfId="109">
      <pivotArea collapsedLevelsAreSubtotals="1" fieldPosition="0">
        <references count="2">
          <reference field="2" count="1" selected="0">
            <x v="13"/>
          </reference>
          <reference field="3" count="1">
            <x v="5"/>
          </reference>
        </references>
      </pivotArea>
    </format>
    <format dxfId="108">
      <pivotArea collapsedLevelsAreSubtotals="1" fieldPosition="0">
        <references count="2">
          <reference field="2" count="1" selected="0">
            <x v="13"/>
          </reference>
          <reference field="3" count="1">
            <x v="6"/>
          </reference>
        </references>
      </pivotArea>
    </format>
    <format dxfId="107">
      <pivotArea collapsedLevelsAreSubtotals="1" fieldPosition="0">
        <references count="2">
          <reference field="2" count="1" selected="0">
            <x v="13"/>
          </reference>
          <reference field="3" count="1">
            <x v="8"/>
          </reference>
        </references>
      </pivotArea>
    </format>
    <format dxfId="106">
      <pivotArea collapsedLevelsAreSubtotals="1" fieldPosition="0">
        <references count="2">
          <reference field="2" count="1" selected="0">
            <x v="13"/>
          </reference>
          <reference field="3" count="1">
            <x v="12"/>
          </reference>
        </references>
      </pivotArea>
    </format>
    <format dxfId="105">
      <pivotArea collapsedLevelsAreSubtotals="1" fieldPosition="0">
        <references count="2">
          <reference field="2" count="1" selected="0">
            <x v="13"/>
          </reference>
          <reference field="3" count="1">
            <x v="32"/>
          </reference>
        </references>
      </pivotArea>
    </format>
    <format dxfId="104">
      <pivotArea collapsedLevelsAreSubtotals="1" fieldPosition="0">
        <references count="2">
          <reference field="2" count="1" selected="0">
            <x v="13"/>
          </reference>
          <reference field="3" count="1">
            <x v="35"/>
          </reference>
        </references>
      </pivotArea>
    </format>
    <format dxfId="103">
      <pivotArea collapsedLevelsAreSubtotals="1" fieldPosition="0">
        <references count="2">
          <reference field="2" count="1" selected="0">
            <x v="13"/>
          </reference>
          <reference field="3" count="1">
            <x v="36"/>
          </reference>
        </references>
      </pivotArea>
    </format>
    <format dxfId="102">
      <pivotArea collapsedLevelsAreSubtotals="1" fieldPosition="0">
        <references count="2">
          <reference field="2" count="1" selected="0">
            <x v="13"/>
          </reference>
          <reference field="3" count="1">
            <x v="45"/>
          </reference>
        </references>
      </pivotArea>
    </format>
    <format dxfId="101">
      <pivotArea collapsedLevelsAreSubtotals="1" fieldPosition="0">
        <references count="2">
          <reference field="2" count="1" selected="0">
            <x v="13"/>
          </reference>
          <reference field="3" count="1">
            <x v="46"/>
          </reference>
        </references>
      </pivotArea>
    </format>
    <format dxfId="100">
      <pivotArea collapsedLevelsAreSubtotals="1" fieldPosition="0">
        <references count="2">
          <reference field="2" count="1" selected="0">
            <x v="13"/>
          </reference>
          <reference field="3" count="1">
            <x v="47"/>
          </reference>
        </references>
      </pivotArea>
    </format>
    <format dxfId="99">
      <pivotArea collapsedLevelsAreSubtotals="1" fieldPosition="0">
        <references count="1">
          <reference field="2" count="1">
            <x v="8"/>
          </reference>
        </references>
      </pivotArea>
    </format>
    <format dxfId="98">
      <pivotArea collapsedLevelsAreSubtotals="1" fieldPosition="0">
        <references count="2">
          <reference field="2" count="1" selected="0">
            <x v="8"/>
          </reference>
          <reference field="3" count="1">
            <x v="2"/>
          </reference>
        </references>
      </pivotArea>
    </format>
    <format dxfId="97">
      <pivotArea collapsedLevelsAreSubtotals="1" fieldPosition="0">
        <references count="2">
          <reference field="2" count="1" selected="0">
            <x v="8"/>
          </reference>
          <reference field="3" count="1">
            <x v="3"/>
          </reference>
        </references>
      </pivotArea>
    </format>
    <format dxfId="96">
      <pivotArea collapsedLevelsAreSubtotals="1" fieldPosition="0">
        <references count="2">
          <reference field="2" count="1" selected="0">
            <x v="8"/>
          </reference>
          <reference field="3" count="1">
            <x v="14"/>
          </reference>
        </references>
      </pivotArea>
    </format>
    <format dxfId="95">
      <pivotArea collapsedLevelsAreSubtotals="1" fieldPosition="0">
        <references count="2">
          <reference field="2" count="1" selected="0">
            <x v="8"/>
          </reference>
          <reference field="3" count="1">
            <x v="17"/>
          </reference>
        </references>
      </pivotArea>
    </format>
    <format dxfId="94">
      <pivotArea collapsedLevelsAreSubtotals="1" fieldPosition="0">
        <references count="2">
          <reference field="2" count="1" selected="0">
            <x v="8"/>
          </reference>
          <reference field="3" count="1">
            <x v="18"/>
          </reference>
        </references>
      </pivotArea>
    </format>
    <format dxfId="93">
      <pivotArea collapsedLevelsAreSubtotals="1" fieldPosition="0">
        <references count="2">
          <reference field="2" count="1" selected="0">
            <x v="8"/>
          </reference>
          <reference field="3" count="1">
            <x v="19"/>
          </reference>
        </references>
      </pivotArea>
    </format>
    <format dxfId="92">
      <pivotArea collapsedLevelsAreSubtotals="1" fieldPosition="0">
        <references count="2">
          <reference field="2" count="1" selected="0">
            <x v="8"/>
          </reference>
          <reference field="3" count="1">
            <x v="28"/>
          </reference>
        </references>
      </pivotArea>
    </format>
    <format dxfId="91">
      <pivotArea collapsedLevelsAreSubtotals="1" fieldPosition="0">
        <references count="2">
          <reference field="2" count="1" selected="0">
            <x v="8"/>
          </reference>
          <reference field="3" count="1">
            <x v="50"/>
          </reference>
        </references>
      </pivotArea>
    </format>
    <format dxfId="90">
      <pivotArea collapsedLevelsAreSubtotals="1" fieldPosition="0">
        <references count="2">
          <reference field="2" count="1" selected="0">
            <x v="8"/>
          </reference>
          <reference field="3" count="1">
            <x v="51"/>
          </reference>
        </references>
      </pivotArea>
    </format>
    <format dxfId="89">
      <pivotArea collapsedLevelsAreSubtotals="1" fieldPosition="0">
        <references count="2">
          <reference field="2" count="1" selected="0">
            <x v="8"/>
          </reference>
          <reference field="3" count="1">
            <x v="53"/>
          </reference>
        </references>
      </pivotArea>
    </format>
    <format dxfId="88">
      <pivotArea collapsedLevelsAreSubtotals="1" fieldPosition="0">
        <references count="1">
          <reference field="2" count="1">
            <x v="0"/>
          </reference>
        </references>
      </pivotArea>
    </format>
    <format dxfId="87">
      <pivotArea collapsedLevelsAreSubtotals="1" fieldPosition="0">
        <references count="2">
          <reference field="2" count="1" selected="0">
            <x v="0"/>
          </reference>
          <reference field="3" count="1">
            <x v="4"/>
          </reference>
        </references>
      </pivotArea>
    </format>
    <format dxfId="86">
      <pivotArea collapsedLevelsAreSubtotals="1" fieldPosition="0">
        <references count="2">
          <reference field="2" count="1" selected="0">
            <x v="0"/>
          </reference>
          <reference field="3" count="1">
            <x v="11"/>
          </reference>
        </references>
      </pivotArea>
    </format>
    <format dxfId="85">
      <pivotArea collapsedLevelsAreSubtotals="1" fieldPosition="0">
        <references count="2">
          <reference field="2" count="1" selected="0">
            <x v="0"/>
          </reference>
          <reference field="3" count="1">
            <x v="13"/>
          </reference>
        </references>
      </pivotArea>
    </format>
    <format dxfId="84">
      <pivotArea collapsedLevelsAreSubtotals="1" fieldPosition="0">
        <references count="2">
          <reference field="2" count="1" selected="0">
            <x v="0"/>
          </reference>
          <reference field="3" count="1">
            <x v="14"/>
          </reference>
        </references>
      </pivotArea>
    </format>
    <format dxfId="83">
      <pivotArea collapsedLevelsAreSubtotals="1" fieldPosition="0">
        <references count="2">
          <reference field="2" count="1" selected="0">
            <x v="0"/>
          </reference>
          <reference field="3" count="1">
            <x v="26"/>
          </reference>
        </references>
      </pivotArea>
    </format>
    <format dxfId="82">
      <pivotArea collapsedLevelsAreSubtotals="1" fieldPosition="0">
        <references count="2">
          <reference field="2" count="1" selected="0">
            <x v="0"/>
          </reference>
          <reference field="3" count="1">
            <x v="27"/>
          </reference>
        </references>
      </pivotArea>
    </format>
    <format dxfId="81">
      <pivotArea collapsedLevelsAreSubtotals="1" fieldPosition="0">
        <references count="2">
          <reference field="2" count="1" selected="0">
            <x v="0"/>
          </reference>
          <reference field="3" count="1">
            <x v="55"/>
          </reference>
        </references>
      </pivotArea>
    </format>
    <format dxfId="80">
      <pivotArea collapsedLevelsAreSubtotals="1" fieldPosition="0">
        <references count="2">
          <reference field="2" count="1" selected="0">
            <x v="0"/>
          </reference>
          <reference field="3" count="1">
            <x v="56"/>
          </reference>
        </references>
      </pivotArea>
    </format>
    <format dxfId="79">
      <pivotArea collapsedLevelsAreSubtotals="1" fieldPosition="0">
        <references count="1">
          <reference field="2" count="1">
            <x v="9"/>
          </reference>
        </references>
      </pivotArea>
    </format>
    <format dxfId="78">
      <pivotArea collapsedLevelsAreSubtotals="1" fieldPosition="0">
        <references count="2">
          <reference field="2" count="1" selected="0">
            <x v="9"/>
          </reference>
          <reference field="3" count="1">
            <x v="10"/>
          </reference>
        </references>
      </pivotArea>
    </format>
    <format dxfId="77">
      <pivotArea collapsedLevelsAreSubtotals="1" fieldPosition="0">
        <references count="2">
          <reference field="2" count="1" selected="0">
            <x v="9"/>
          </reference>
          <reference field="3" count="1">
            <x v="19"/>
          </reference>
        </references>
      </pivotArea>
    </format>
    <format dxfId="76">
      <pivotArea collapsedLevelsAreSubtotals="1" fieldPosition="0">
        <references count="2">
          <reference field="2" count="1" selected="0">
            <x v="9"/>
          </reference>
          <reference field="3" count="1">
            <x v="31"/>
          </reference>
        </references>
      </pivotArea>
    </format>
    <format dxfId="75">
      <pivotArea collapsedLevelsAreSubtotals="1" fieldPosition="0">
        <references count="2">
          <reference field="2" count="1" selected="0">
            <x v="9"/>
          </reference>
          <reference field="3" count="1">
            <x v="34"/>
          </reference>
        </references>
      </pivotArea>
    </format>
    <format dxfId="74">
      <pivotArea collapsedLevelsAreSubtotals="1" fieldPosition="0">
        <references count="2">
          <reference field="2" count="1" selected="0">
            <x v="9"/>
          </reference>
          <reference field="3" count="1">
            <x v="44"/>
          </reference>
        </references>
      </pivotArea>
    </format>
    <format dxfId="73">
      <pivotArea collapsedLevelsAreSubtotals="1" fieldPosition="0">
        <references count="2">
          <reference field="2" count="1" selected="0">
            <x v="9"/>
          </reference>
          <reference field="3" count="1">
            <x v="52"/>
          </reference>
        </references>
      </pivotArea>
    </format>
    <format dxfId="72">
      <pivotArea collapsedLevelsAreSubtotals="1" fieldPosition="0">
        <references count="2">
          <reference field="2" count="1" selected="0">
            <x v="9"/>
          </reference>
          <reference field="3" count="1">
            <x v="54"/>
          </reference>
        </references>
      </pivotArea>
    </format>
    <format dxfId="71">
      <pivotArea collapsedLevelsAreSubtotals="1" fieldPosition="0">
        <references count="1">
          <reference field="2" count="1">
            <x v="3"/>
          </reference>
        </references>
      </pivotArea>
    </format>
    <format dxfId="70">
      <pivotArea collapsedLevelsAreSubtotals="1" fieldPosition="0">
        <references count="2">
          <reference field="2" count="1" selected="0">
            <x v="3"/>
          </reference>
          <reference field="3" count="1">
            <x v="9"/>
          </reference>
        </references>
      </pivotArea>
    </format>
    <format dxfId="69">
      <pivotArea collapsedLevelsAreSubtotals="1" fieldPosition="0">
        <references count="2">
          <reference field="2" count="1" selected="0">
            <x v="3"/>
          </reference>
          <reference field="3" count="1">
            <x v="20"/>
          </reference>
        </references>
      </pivotArea>
    </format>
    <format dxfId="68">
      <pivotArea collapsedLevelsAreSubtotals="1" fieldPosition="0">
        <references count="2">
          <reference field="2" count="1" selected="0">
            <x v="3"/>
          </reference>
          <reference field="3" count="1">
            <x v="23"/>
          </reference>
        </references>
      </pivotArea>
    </format>
    <format dxfId="67">
      <pivotArea collapsedLevelsAreSubtotals="1" fieldPosition="0">
        <references count="2">
          <reference field="2" count="1" selected="0">
            <x v="3"/>
          </reference>
          <reference field="3" count="1">
            <x v="25"/>
          </reference>
        </references>
      </pivotArea>
    </format>
    <format dxfId="66">
      <pivotArea collapsedLevelsAreSubtotals="1" fieldPosition="0">
        <references count="1">
          <reference field="2" count="1">
            <x v="4"/>
          </reference>
        </references>
      </pivotArea>
    </format>
    <format dxfId="65">
      <pivotArea collapsedLevelsAreSubtotals="1" fieldPosition="0">
        <references count="2">
          <reference field="2" count="1" selected="0">
            <x v="4"/>
          </reference>
          <reference field="3" count="1">
            <x v="2"/>
          </reference>
        </references>
      </pivotArea>
    </format>
    <format dxfId="64">
      <pivotArea collapsedLevelsAreSubtotals="1" fieldPosition="0">
        <references count="1">
          <reference field="2" count="1">
            <x v="6"/>
          </reference>
        </references>
      </pivotArea>
    </format>
    <format dxfId="63">
      <pivotArea collapsedLevelsAreSubtotals="1" fieldPosition="0">
        <references count="2">
          <reference field="2" count="1" selected="0">
            <x v="6"/>
          </reference>
          <reference field="3" count="1">
            <x v="15"/>
          </reference>
        </references>
      </pivotArea>
    </format>
    <format dxfId="62">
      <pivotArea collapsedLevelsAreSubtotals="1" fieldPosition="0">
        <references count="2">
          <reference field="2" count="1" selected="0">
            <x v="6"/>
          </reference>
          <reference field="3" count="1">
            <x v="43"/>
          </reference>
        </references>
      </pivotArea>
    </format>
    <format dxfId="61">
      <pivotArea dataOnly="0" labelOnly="1" fieldPosition="0">
        <references count="1">
          <reference field="2" count="0"/>
        </references>
      </pivotArea>
    </format>
    <format dxfId="60">
      <pivotArea dataOnly="0" labelOnly="1" fieldPosition="0">
        <references count="2">
          <reference field="2" count="1" selected="0">
            <x v="13"/>
          </reference>
          <reference field="3" count="11">
            <x v="0"/>
            <x v="5"/>
            <x v="6"/>
            <x v="8"/>
            <x v="12"/>
            <x v="32"/>
            <x v="35"/>
            <x v="36"/>
            <x v="45"/>
            <x v="46"/>
            <x v="47"/>
          </reference>
        </references>
      </pivotArea>
    </format>
    <format dxfId="59">
      <pivotArea dataOnly="0" labelOnly="1" fieldPosition="0">
        <references count="2">
          <reference field="2" count="1" selected="0">
            <x v="8"/>
          </reference>
          <reference field="3" count="10">
            <x v="2"/>
            <x v="3"/>
            <x v="14"/>
            <x v="17"/>
            <x v="18"/>
            <x v="19"/>
            <x v="28"/>
            <x v="50"/>
            <x v="51"/>
            <x v="53"/>
          </reference>
        </references>
      </pivotArea>
    </format>
    <format dxfId="58">
      <pivotArea dataOnly="0" labelOnly="1" fieldPosition="0">
        <references count="2">
          <reference field="2" count="1" selected="0">
            <x v="0"/>
          </reference>
          <reference field="3" count="8">
            <x v="4"/>
            <x v="11"/>
            <x v="13"/>
            <x v="14"/>
            <x v="26"/>
            <x v="27"/>
            <x v="55"/>
            <x v="56"/>
          </reference>
        </references>
      </pivotArea>
    </format>
    <format dxfId="57">
      <pivotArea dataOnly="0" labelOnly="1" fieldPosition="0">
        <references count="2">
          <reference field="2" count="1" selected="0">
            <x v="9"/>
          </reference>
          <reference field="3" count="7">
            <x v="10"/>
            <x v="19"/>
            <x v="31"/>
            <x v="34"/>
            <x v="44"/>
            <x v="52"/>
            <x v="54"/>
          </reference>
        </references>
      </pivotArea>
    </format>
    <format dxfId="56">
      <pivotArea dataOnly="0" labelOnly="1" fieldPosition="0">
        <references count="2">
          <reference field="2" count="1" selected="0">
            <x v="3"/>
          </reference>
          <reference field="3" count="4">
            <x v="9"/>
            <x v="20"/>
            <x v="23"/>
            <x v="25"/>
          </reference>
        </references>
      </pivotArea>
    </format>
    <format dxfId="55">
      <pivotArea dataOnly="0" labelOnly="1" fieldPosition="0">
        <references count="2">
          <reference field="2" count="1" selected="0">
            <x v="4"/>
          </reference>
          <reference field="3" count="1">
            <x v="2"/>
          </reference>
        </references>
      </pivotArea>
    </format>
    <format dxfId="54">
      <pivotArea dataOnly="0" labelOnly="1" fieldPosition="0">
        <references count="2">
          <reference field="2" count="1" selected="0">
            <x v="6"/>
          </reference>
          <reference field="3" count="2">
            <x v="15"/>
            <x v="43"/>
          </reference>
        </references>
      </pivotArea>
    </format>
  </formats>
  <pivotTableStyleInfo name="PivotStyleLight13"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600-000001000000}" name="TablaDinámica3" cacheId="3" applyNumberFormats="0" applyBorderFormats="0" applyFontFormats="0" applyPatternFormats="0" applyAlignmentFormats="0" applyWidthHeightFormats="1" dataCaption="Valores" updatedVersion="7" minRefreshableVersion="3" useAutoFormatting="1" itemPrintTitles="1" createdVersion="5" indent="0" outline="1" outlineData="1" multipleFieldFilters="0">
  <location ref="C3:D49" firstHeaderRow="1" firstDataRow="1" firstDataCol="1"/>
  <pivotFields count="5">
    <pivotField axis="axisRow" showAll="0" defaultSubtotal="0">
      <items count="4">
        <item h="1" x="2"/>
        <item h="1" x="0"/>
        <item x="1"/>
        <item h="1" x="3"/>
      </items>
    </pivotField>
    <pivotField axis="axisRow" showAll="0">
      <items count="27">
        <item sd="0" x="20"/>
        <item sd="0" x="18"/>
        <item sd="0" x="2"/>
        <item sd="0" x="10"/>
        <item sd="0" x="16"/>
        <item sd="0" x="1"/>
        <item sd="0" x="13"/>
        <item sd="0" x="23"/>
        <item sd="0" x="19"/>
        <item sd="0" x="17"/>
        <item sd="0" x="9"/>
        <item sd="0" x="15"/>
        <item sd="0" x="14"/>
        <item sd="0" x="0"/>
        <item sd="0" x="11"/>
        <item sd="0" x="5"/>
        <item sd="0" x="3"/>
        <item sd="0" x="6"/>
        <item sd="0" x="8"/>
        <item sd="0" x="12"/>
        <item x="4"/>
        <item sd="0" x="7"/>
        <item sd="0" x="21"/>
        <item sd="0" x="22"/>
        <item x="24"/>
        <item x="25"/>
        <item t="default"/>
      </items>
    </pivotField>
    <pivotField showAll="0"/>
    <pivotField axis="axisRow" showAll="0" sortType="descending">
      <items count="18">
        <item x="2"/>
        <item x="7"/>
        <item x="5"/>
        <item x="1"/>
        <item x="4"/>
        <item x="0"/>
        <item x="3"/>
        <item x="6"/>
        <item x="8"/>
        <item x="9"/>
        <item x="10"/>
        <item x="11"/>
        <item x="12"/>
        <item x="13"/>
        <item x="14"/>
        <item m="1" x="16"/>
        <item m="1" x="15"/>
        <item t="default"/>
      </items>
      <autoSortScope>
        <pivotArea dataOnly="0" outline="0" fieldPosition="0">
          <references count="1">
            <reference field="4294967294" count="1" selected="0">
              <x v="0"/>
            </reference>
          </references>
        </pivotArea>
      </autoSortScope>
    </pivotField>
    <pivotField axis="axisRow" dataField="1" showAll="0" sortType="descending">
      <items count="73">
        <item sd="0" x="41"/>
        <item sd="0" x="42"/>
        <item sd="0" x="16"/>
        <item sd="0" x="4"/>
        <item sd="0" x="40"/>
        <item sd="0" x="34"/>
        <item sd="0" x="9"/>
        <item sd="0" x="7"/>
        <item sd="0" x="25"/>
        <item sd="0" x="31"/>
        <item sd="0" x="15"/>
        <item sd="0" x="11"/>
        <item x="47"/>
        <item sd="0" x="6"/>
        <item sd="0" x="8"/>
        <item sd="0" x="38"/>
        <item sd="0" x="5"/>
        <item sd="0" x="22"/>
        <item sd="0" x="46"/>
        <item sd="0" x="30"/>
        <item sd="0" x="14"/>
        <item sd="0" x="26"/>
        <item sd="0" x="35"/>
        <item sd="0" x="20"/>
        <item sd="0" x="1"/>
        <item x="60"/>
        <item x="66"/>
        <item sd="0" x="28"/>
        <item sd="0" x="44"/>
        <item sd="0" x="0"/>
        <item sd="0" x="39"/>
        <item sd="0" x="2"/>
        <item x="3"/>
        <item x="10"/>
        <item x="12"/>
        <item sd="0" x="13"/>
        <item sd="0" x="59"/>
        <item sd="0" x="17"/>
        <item sd="0" x="18"/>
        <item sd="0" x="19"/>
        <item sd="0" x="21"/>
        <item x="23"/>
        <item x="24"/>
        <item sd="0" x="27"/>
        <item sd="0" x="29"/>
        <item sd="0" x="32"/>
        <item x="33"/>
        <item x="36"/>
        <item x="37"/>
        <item x="48"/>
        <item x="49"/>
        <item x="50"/>
        <item x="51"/>
        <item x="52"/>
        <item x="53"/>
        <item x="54"/>
        <item x="55"/>
        <item x="56"/>
        <item x="57"/>
        <item x="58"/>
        <item x="61"/>
        <item x="62"/>
        <item x="63"/>
        <item x="64"/>
        <item x="65"/>
        <item x="67"/>
        <item x="68"/>
        <item x="69"/>
        <item x="70"/>
        <item x="71"/>
        <item sd="0" x="43"/>
        <item sd="0" x="45"/>
        <item t="default"/>
      </items>
      <autoSortScope>
        <pivotArea dataOnly="0" outline="0" fieldPosition="0">
          <references count="1">
            <reference field="4294967294" count="1" selected="0">
              <x v="0"/>
            </reference>
          </references>
        </pivotArea>
      </autoSortScope>
    </pivotField>
  </pivotFields>
  <rowFields count="4">
    <field x="3"/>
    <field x="4"/>
    <field x="1"/>
    <field x="0"/>
  </rowFields>
  <rowItems count="46">
    <i>
      <x v="3"/>
    </i>
    <i r="1">
      <x v="2"/>
    </i>
    <i r="1">
      <x v="13"/>
    </i>
    <i r="1">
      <x v="45"/>
    </i>
    <i r="1">
      <x v="15"/>
    </i>
    <i r="1">
      <x v="43"/>
    </i>
    <i r="1">
      <x v="31"/>
    </i>
    <i r="1">
      <x v="14"/>
    </i>
    <i r="1">
      <x v="70"/>
    </i>
    <i>
      <x v="5"/>
    </i>
    <i r="1">
      <x v="4"/>
    </i>
    <i r="1">
      <x v="8"/>
    </i>
    <i r="1">
      <x v="44"/>
    </i>
    <i r="1">
      <x/>
    </i>
    <i r="1">
      <x v="38"/>
    </i>
    <i r="1">
      <x v="22"/>
    </i>
    <i r="1">
      <x v="29"/>
    </i>
    <i r="1">
      <x v="37"/>
    </i>
    <i r="1">
      <x v="24"/>
    </i>
    <i r="1">
      <x v="30"/>
    </i>
    <i r="1">
      <x v="35"/>
    </i>
    <i>
      <x/>
    </i>
    <i r="1">
      <x v="10"/>
    </i>
    <i r="1">
      <x v="19"/>
    </i>
    <i r="1">
      <x v="3"/>
    </i>
    <i r="1">
      <x v="9"/>
    </i>
    <i r="1">
      <x v="7"/>
    </i>
    <i r="1">
      <x v="71"/>
    </i>
    <i>
      <x v="4"/>
    </i>
    <i r="1">
      <x v="39"/>
    </i>
    <i r="1">
      <x v="6"/>
    </i>
    <i r="1">
      <x v="28"/>
    </i>
    <i r="1">
      <x v="40"/>
    </i>
    <i r="1">
      <x v="23"/>
    </i>
    <i r="1">
      <x v="21"/>
    </i>
    <i>
      <x v="6"/>
    </i>
    <i r="1">
      <x v="5"/>
    </i>
    <i r="1">
      <x v="16"/>
    </i>
    <i r="1">
      <x v="18"/>
    </i>
    <i r="1">
      <x v="17"/>
    </i>
    <i>
      <x v="1"/>
    </i>
    <i r="1">
      <x v="1"/>
    </i>
    <i>
      <x v="2"/>
    </i>
    <i r="1">
      <x v="27"/>
    </i>
    <i r="1">
      <x v="11"/>
    </i>
    <i t="grand">
      <x/>
    </i>
  </rowItems>
  <colItems count="1">
    <i/>
  </colItems>
  <dataFields count="1">
    <dataField name="Cuenta de SUBCLASIFICACION" fld="4" subtotal="count" baseField="0" baseItem="0"/>
  </dataFields>
  <formats count="88">
    <format dxfId="206">
      <pivotArea type="all" dataOnly="0" outline="0" fieldPosition="0"/>
    </format>
    <format dxfId="205">
      <pivotArea type="all" dataOnly="0" outline="0" fieldPosition="0"/>
    </format>
    <format dxfId="204">
      <pivotArea outline="0" collapsedLevelsAreSubtotals="1" fieldPosition="0"/>
    </format>
    <format dxfId="203">
      <pivotArea field="3" type="button" dataOnly="0" labelOnly="1" outline="0" axis="axisRow" fieldPosition="0"/>
    </format>
    <format dxfId="202">
      <pivotArea dataOnly="0" labelOnly="1" outline="0" axis="axisValues" fieldPosition="0"/>
    </format>
    <format dxfId="201">
      <pivotArea dataOnly="0" labelOnly="1" fieldPosition="0">
        <references count="1">
          <reference field="3" count="0"/>
        </references>
      </pivotArea>
    </format>
    <format dxfId="200">
      <pivotArea dataOnly="0" labelOnly="1" grandRow="1" outline="0" fieldPosition="0"/>
    </format>
    <format dxfId="199">
      <pivotArea collapsedLevelsAreSubtotals="1" fieldPosition="0">
        <references count="1">
          <reference field="3" count="1">
            <x v="0"/>
          </reference>
        </references>
      </pivotArea>
    </format>
    <format dxfId="198">
      <pivotArea collapsedLevelsAreSubtotals="1" fieldPosition="0">
        <references count="2">
          <reference field="3" count="1" selected="0">
            <x v="0"/>
          </reference>
          <reference field="4" count="1">
            <x v="3"/>
          </reference>
        </references>
      </pivotArea>
    </format>
    <format dxfId="197">
      <pivotArea collapsedLevelsAreSubtotals="1" fieldPosition="0">
        <references count="2">
          <reference field="3" count="1" selected="0">
            <x v="0"/>
          </reference>
          <reference field="4" count="1">
            <x v="7"/>
          </reference>
        </references>
      </pivotArea>
    </format>
    <format dxfId="196">
      <pivotArea collapsedLevelsAreSubtotals="1" fieldPosition="0">
        <references count="2">
          <reference field="3" count="1" selected="0">
            <x v="0"/>
          </reference>
          <reference field="4" count="1">
            <x v="9"/>
          </reference>
        </references>
      </pivotArea>
    </format>
    <format dxfId="195">
      <pivotArea collapsedLevelsAreSubtotals="1" fieldPosition="0">
        <references count="2">
          <reference field="3" count="1" selected="0">
            <x v="0"/>
          </reference>
          <reference field="4" count="1">
            <x v="10"/>
          </reference>
        </references>
      </pivotArea>
    </format>
    <format dxfId="194">
      <pivotArea collapsedLevelsAreSubtotals="1" fieldPosition="0">
        <references count="2">
          <reference field="3" count="1" selected="0">
            <x v="0"/>
          </reference>
          <reference field="4" count="1">
            <x v="18"/>
          </reference>
        </references>
      </pivotArea>
    </format>
    <format dxfId="193">
      <pivotArea collapsedLevelsAreSubtotals="1" fieldPosition="0">
        <references count="2">
          <reference field="3" count="1" selected="0">
            <x v="0"/>
          </reference>
          <reference field="4" count="1">
            <x v="19"/>
          </reference>
        </references>
      </pivotArea>
    </format>
    <format dxfId="192">
      <pivotArea collapsedLevelsAreSubtotals="1" fieldPosition="0">
        <references count="1">
          <reference field="3" count="1">
            <x v="3"/>
          </reference>
        </references>
      </pivotArea>
    </format>
    <format dxfId="191">
      <pivotArea collapsedLevelsAreSubtotals="1" fieldPosition="0">
        <references count="2">
          <reference field="3" count="1" selected="0">
            <x v="3"/>
          </reference>
          <reference field="4" count="1">
            <x v="2"/>
          </reference>
        </references>
      </pivotArea>
    </format>
    <format dxfId="190">
      <pivotArea collapsedLevelsAreSubtotals="1" fieldPosition="0">
        <references count="2">
          <reference field="3" count="1" selected="0">
            <x v="3"/>
          </reference>
          <reference field="4" count="1">
            <x v="13"/>
          </reference>
        </references>
      </pivotArea>
    </format>
    <format dxfId="189">
      <pivotArea collapsedLevelsAreSubtotals="1" fieldPosition="0">
        <references count="2">
          <reference field="3" count="1" selected="0">
            <x v="3"/>
          </reference>
          <reference field="4" count="1">
            <x v="14"/>
          </reference>
        </references>
      </pivotArea>
    </format>
    <format dxfId="188">
      <pivotArea collapsedLevelsAreSubtotals="1" fieldPosition="0">
        <references count="2">
          <reference field="3" count="1" selected="0">
            <x v="3"/>
          </reference>
          <reference field="4" count="1">
            <x v="15"/>
          </reference>
        </references>
      </pivotArea>
    </format>
    <format dxfId="187">
      <pivotArea collapsedLevelsAreSubtotals="1" fieldPosition="0">
        <references count="2">
          <reference field="3" count="1" selected="0">
            <x v="3"/>
          </reference>
          <reference field="4" count="1">
            <x v="20"/>
          </reference>
        </references>
      </pivotArea>
    </format>
    <format dxfId="186">
      <pivotArea collapsedLevelsAreSubtotals="1" fieldPosition="0">
        <references count="1">
          <reference field="3" count="1">
            <x v="4"/>
          </reference>
        </references>
      </pivotArea>
    </format>
    <format dxfId="185">
      <pivotArea collapsedLevelsAreSubtotals="1" fieldPosition="0">
        <references count="2">
          <reference field="3" count="1" selected="0">
            <x v="4"/>
          </reference>
          <reference field="4" count="1">
            <x v="6"/>
          </reference>
        </references>
      </pivotArea>
    </format>
    <format dxfId="184">
      <pivotArea collapsedLevelsAreSubtotals="1" fieldPosition="0">
        <references count="2">
          <reference field="3" count="1" selected="0">
            <x v="4"/>
          </reference>
          <reference field="4" count="1">
            <x v="21"/>
          </reference>
        </references>
      </pivotArea>
    </format>
    <format dxfId="183">
      <pivotArea collapsedLevelsAreSubtotals="1" fieldPosition="0">
        <references count="2">
          <reference field="3" count="1" selected="0">
            <x v="4"/>
          </reference>
          <reference field="4" count="1">
            <x v="23"/>
          </reference>
        </references>
      </pivotArea>
    </format>
    <format dxfId="182">
      <pivotArea collapsedLevelsAreSubtotals="1" fieldPosition="0">
        <references count="2">
          <reference field="3" count="1" selected="0">
            <x v="4"/>
          </reference>
          <reference field="4" count="1">
            <x v="28"/>
          </reference>
        </references>
      </pivotArea>
    </format>
    <format dxfId="181">
      <pivotArea collapsedLevelsAreSubtotals="1" fieldPosition="0">
        <references count="1">
          <reference field="3" count="1">
            <x v="1"/>
          </reference>
        </references>
      </pivotArea>
    </format>
    <format dxfId="180">
      <pivotArea collapsedLevelsAreSubtotals="1" fieldPosition="0">
        <references count="2">
          <reference field="3" count="1" selected="0">
            <x v="1"/>
          </reference>
          <reference field="4" count="1">
            <x v="1"/>
          </reference>
        </references>
      </pivotArea>
    </format>
    <format dxfId="179">
      <pivotArea collapsedLevelsAreSubtotals="1" fieldPosition="0">
        <references count="1">
          <reference field="3" count="1">
            <x v="2"/>
          </reference>
        </references>
      </pivotArea>
    </format>
    <format dxfId="178">
      <pivotArea collapsedLevelsAreSubtotals="1" fieldPosition="0">
        <references count="2">
          <reference field="3" count="1" selected="0">
            <x v="2"/>
          </reference>
          <reference field="4" count="1">
            <x v="11"/>
          </reference>
        </references>
      </pivotArea>
    </format>
    <format dxfId="177">
      <pivotArea collapsedLevelsAreSubtotals="1" fieldPosition="0">
        <references count="2">
          <reference field="3" count="1" selected="0">
            <x v="2"/>
          </reference>
          <reference field="4" count="1">
            <x v="27"/>
          </reference>
        </references>
      </pivotArea>
    </format>
    <format dxfId="176">
      <pivotArea dataOnly="0" labelOnly="1" fieldPosition="0">
        <references count="1">
          <reference field="3" count="0"/>
        </references>
      </pivotArea>
    </format>
    <format dxfId="175">
      <pivotArea dataOnly="0" labelOnly="1" fieldPosition="0">
        <references count="2">
          <reference field="3" count="1" selected="0">
            <x v="0"/>
          </reference>
          <reference field="4" count="6">
            <x v="3"/>
            <x v="7"/>
            <x v="9"/>
            <x v="10"/>
            <x v="18"/>
            <x v="19"/>
          </reference>
        </references>
      </pivotArea>
    </format>
    <format dxfId="174">
      <pivotArea dataOnly="0" labelOnly="1" fieldPosition="0">
        <references count="2">
          <reference field="3" count="1" selected="0">
            <x v="3"/>
          </reference>
          <reference field="4" count="5">
            <x v="2"/>
            <x v="13"/>
            <x v="14"/>
            <x v="15"/>
            <x v="20"/>
          </reference>
        </references>
      </pivotArea>
    </format>
    <format dxfId="173">
      <pivotArea dataOnly="0" labelOnly="1" fieldPosition="0">
        <references count="2">
          <reference field="3" count="1" selected="0">
            <x v="4"/>
          </reference>
          <reference field="4" count="4">
            <x v="6"/>
            <x v="21"/>
            <x v="23"/>
            <x v="28"/>
          </reference>
        </references>
      </pivotArea>
    </format>
    <format dxfId="172">
      <pivotArea dataOnly="0" labelOnly="1" fieldPosition="0">
        <references count="2">
          <reference field="3" count="1" selected="0">
            <x v="1"/>
          </reference>
          <reference field="4" count="1">
            <x v="1"/>
          </reference>
        </references>
      </pivotArea>
    </format>
    <format dxfId="171">
      <pivotArea dataOnly="0" labelOnly="1" fieldPosition="0">
        <references count="2">
          <reference field="3" count="1" selected="0">
            <x v="2"/>
          </reference>
          <reference field="4" count="2">
            <x v="11"/>
            <x v="27"/>
          </reference>
        </references>
      </pivotArea>
    </format>
    <format dxfId="170">
      <pivotArea collapsedLevelsAreSubtotals="1" fieldPosition="0">
        <references count="1">
          <reference field="3" count="1">
            <x v="3"/>
          </reference>
        </references>
      </pivotArea>
    </format>
    <format dxfId="169">
      <pivotArea collapsedLevelsAreSubtotals="1" fieldPosition="0">
        <references count="2">
          <reference field="3" count="1" selected="0">
            <x v="3"/>
          </reference>
          <reference field="4" count="1">
            <x v="2"/>
          </reference>
        </references>
      </pivotArea>
    </format>
    <format dxfId="168">
      <pivotArea collapsedLevelsAreSubtotals="1" fieldPosition="0">
        <references count="2">
          <reference field="3" count="1" selected="0">
            <x v="3"/>
          </reference>
          <reference field="4" count="1">
            <x v="13"/>
          </reference>
        </references>
      </pivotArea>
    </format>
    <format dxfId="167">
      <pivotArea collapsedLevelsAreSubtotals="1" fieldPosition="0">
        <references count="2">
          <reference field="3" count="1" selected="0">
            <x v="3"/>
          </reference>
          <reference field="4" count="1">
            <x v="45"/>
          </reference>
        </references>
      </pivotArea>
    </format>
    <format dxfId="166">
      <pivotArea collapsedLevelsAreSubtotals="1" fieldPosition="0">
        <references count="2">
          <reference field="3" count="1" selected="0">
            <x v="3"/>
          </reference>
          <reference field="4" count="1">
            <x v="15"/>
          </reference>
        </references>
      </pivotArea>
    </format>
    <format dxfId="165">
      <pivotArea collapsedLevelsAreSubtotals="1" fieldPosition="0">
        <references count="2">
          <reference field="3" count="1" selected="0">
            <x v="3"/>
          </reference>
          <reference field="4" count="1">
            <x v="43"/>
          </reference>
        </references>
      </pivotArea>
    </format>
    <format dxfId="164">
      <pivotArea collapsedLevelsAreSubtotals="1" fieldPosition="0">
        <references count="2">
          <reference field="3" count="1" selected="0">
            <x v="3"/>
          </reference>
          <reference field="4" count="1">
            <x v="31"/>
          </reference>
        </references>
      </pivotArea>
    </format>
    <format dxfId="163">
      <pivotArea collapsedLevelsAreSubtotals="1" fieldPosition="0">
        <references count="2">
          <reference field="3" count="1" selected="0">
            <x v="3"/>
          </reference>
          <reference field="4" count="1">
            <x v="14"/>
          </reference>
        </references>
      </pivotArea>
    </format>
    <format dxfId="162">
      <pivotArea collapsedLevelsAreSubtotals="1" fieldPosition="0">
        <references count="2">
          <reference field="3" count="1" selected="0">
            <x v="3"/>
          </reference>
          <reference field="4" count="1">
            <x v="70"/>
          </reference>
        </references>
      </pivotArea>
    </format>
    <format dxfId="161">
      <pivotArea collapsedLevelsAreSubtotals="1" fieldPosition="0">
        <references count="1">
          <reference field="3" count="1">
            <x v="5"/>
          </reference>
        </references>
      </pivotArea>
    </format>
    <format dxfId="160">
      <pivotArea collapsedLevelsAreSubtotals="1" fieldPosition="0">
        <references count="2">
          <reference field="3" count="1" selected="0">
            <x v="5"/>
          </reference>
          <reference field="4" count="1">
            <x v="4"/>
          </reference>
        </references>
      </pivotArea>
    </format>
    <format dxfId="159">
      <pivotArea collapsedLevelsAreSubtotals="1" fieldPosition="0">
        <references count="2">
          <reference field="3" count="1" selected="0">
            <x v="5"/>
          </reference>
          <reference field="4" count="1">
            <x v="8"/>
          </reference>
        </references>
      </pivotArea>
    </format>
    <format dxfId="158">
      <pivotArea collapsedLevelsAreSubtotals="1" fieldPosition="0">
        <references count="2">
          <reference field="3" count="1" selected="0">
            <x v="5"/>
          </reference>
          <reference field="4" count="1">
            <x v="44"/>
          </reference>
        </references>
      </pivotArea>
    </format>
    <format dxfId="157">
      <pivotArea collapsedLevelsAreSubtotals="1" fieldPosition="0">
        <references count="2">
          <reference field="3" count="1" selected="0">
            <x v="5"/>
          </reference>
          <reference field="4" count="1">
            <x v="0"/>
          </reference>
        </references>
      </pivotArea>
    </format>
    <format dxfId="156">
      <pivotArea collapsedLevelsAreSubtotals="1" fieldPosition="0">
        <references count="2">
          <reference field="3" count="1" selected="0">
            <x v="5"/>
          </reference>
          <reference field="4" count="1">
            <x v="38"/>
          </reference>
        </references>
      </pivotArea>
    </format>
    <format dxfId="155">
      <pivotArea collapsedLevelsAreSubtotals="1" fieldPosition="0">
        <references count="2">
          <reference field="3" count="1" selected="0">
            <x v="5"/>
          </reference>
          <reference field="4" count="1">
            <x v="22"/>
          </reference>
        </references>
      </pivotArea>
    </format>
    <format dxfId="154">
      <pivotArea collapsedLevelsAreSubtotals="1" fieldPosition="0">
        <references count="2">
          <reference field="3" count="1" selected="0">
            <x v="5"/>
          </reference>
          <reference field="4" count="1">
            <x v="29"/>
          </reference>
        </references>
      </pivotArea>
    </format>
    <format dxfId="153">
      <pivotArea collapsedLevelsAreSubtotals="1" fieldPosition="0">
        <references count="2">
          <reference field="3" count="1" selected="0">
            <x v="5"/>
          </reference>
          <reference field="4" count="1">
            <x v="37"/>
          </reference>
        </references>
      </pivotArea>
    </format>
    <format dxfId="152">
      <pivotArea collapsedLevelsAreSubtotals="1" fieldPosition="0">
        <references count="2">
          <reference field="3" count="1" selected="0">
            <x v="5"/>
          </reference>
          <reference field="4" count="1">
            <x v="24"/>
          </reference>
        </references>
      </pivotArea>
    </format>
    <format dxfId="151">
      <pivotArea collapsedLevelsAreSubtotals="1" fieldPosition="0">
        <references count="2">
          <reference field="3" count="1" selected="0">
            <x v="5"/>
          </reference>
          <reference field="4" count="1">
            <x v="30"/>
          </reference>
        </references>
      </pivotArea>
    </format>
    <format dxfId="150">
      <pivotArea collapsedLevelsAreSubtotals="1" fieldPosition="0">
        <references count="2">
          <reference field="3" count="1" selected="0">
            <x v="5"/>
          </reference>
          <reference field="4" count="1">
            <x v="35"/>
          </reference>
        </references>
      </pivotArea>
    </format>
    <format dxfId="149">
      <pivotArea collapsedLevelsAreSubtotals="1" fieldPosition="0">
        <references count="1">
          <reference field="3" count="1">
            <x v="0"/>
          </reference>
        </references>
      </pivotArea>
    </format>
    <format dxfId="148">
      <pivotArea collapsedLevelsAreSubtotals="1" fieldPosition="0">
        <references count="2">
          <reference field="3" count="1" selected="0">
            <x v="0"/>
          </reference>
          <reference field="4" count="1">
            <x v="10"/>
          </reference>
        </references>
      </pivotArea>
    </format>
    <format dxfId="147">
      <pivotArea collapsedLevelsAreSubtotals="1" fieldPosition="0">
        <references count="2">
          <reference field="3" count="1" selected="0">
            <x v="0"/>
          </reference>
          <reference field="4" count="1">
            <x v="19"/>
          </reference>
        </references>
      </pivotArea>
    </format>
    <format dxfId="146">
      <pivotArea collapsedLevelsAreSubtotals="1" fieldPosition="0">
        <references count="2">
          <reference field="3" count="1" selected="0">
            <x v="0"/>
          </reference>
          <reference field="4" count="1">
            <x v="3"/>
          </reference>
        </references>
      </pivotArea>
    </format>
    <format dxfId="145">
      <pivotArea collapsedLevelsAreSubtotals="1" fieldPosition="0">
        <references count="2">
          <reference field="3" count="1" selected="0">
            <x v="0"/>
          </reference>
          <reference field="4" count="1">
            <x v="9"/>
          </reference>
        </references>
      </pivotArea>
    </format>
    <format dxfId="144">
      <pivotArea collapsedLevelsAreSubtotals="1" fieldPosition="0">
        <references count="2">
          <reference field="3" count="1" selected="0">
            <x v="0"/>
          </reference>
          <reference field="4" count="1">
            <x v="7"/>
          </reference>
        </references>
      </pivotArea>
    </format>
    <format dxfId="143">
      <pivotArea collapsedLevelsAreSubtotals="1" fieldPosition="0">
        <references count="2">
          <reference field="3" count="1" selected="0">
            <x v="0"/>
          </reference>
          <reference field="4" count="1">
            <x v="71"/>
          </reference>
        </references>
      </pivotArea>
    </format>
    <format dxfId="142">
      <pivotArea collapsedLevelsAreSubtotals="1" fieldPosition="0">
        <references count="1">
          <reference field="3" count="1">
            <x v="4"/>
          </reference>
        </references>
      </pivotArea>
    </format>
    <format dxfId="141">
      <pivotArea collapsedLevelsAreSubtotals="1" fieldPosition="0">
        <references count="2">
          <reference field="3" count="1" selected="0">
            <x v="4"/>
          </reference>
          <reference field="4" count="1">
            <x v="39"/>
          </reference>
        </references>
      </pivotArea>
    </format>
    <format dxfId="140">
      <pivotArea collapsedLevelsAreSubtotals="1" fieldPosition="0">
        <references count="2">
          <reference field="3" count="1" selected="0">
            <x v="4"/>
          </reference>
          <reference field="4" count="1">
            <x v="6"/>
          </reference>
        </references>
      </pivotArea>
    </format>
    <format dxfId="139">
      <pivotArea collapsedLevelsAreSubtotals="1" fieldPosition="0">
        <references count="2">
          <reference field="3" count="1" selected="0">
            <x v="4"/>
          </reference>
          <reference field="4" count="1">
            <x v="28"/>
          </reference>
        </references>
      </pivotArea>
    </format>
    <format dxfId="138">
      <pivotArea collapsedLevelsAreSubtotals="1" fieldPosition="0">
        <references count="2">
          <reference field="3" count="1" selected="0">
            <x v="4"/>
          </reference>
          <reference field="4" count="1">
            <x v="40"/>
          </reference>
        </references>
      </pivotArea>
    </format>
    <format dxfId="137">
      <pivotArea collapsedLevelsAreSubtotals="1" fieldPosition="0">
        <references count="2">
          <reference field="3" count="1" selected="0">
            <x v="4"/>
          </reference>
          <reference field="4" count="1">
            <x v="23"/>
          </reference>
        </references>
      </pivotArea>
    </format>
    <format dxfId="136">
      <pivotArea collapsedLevelsAreSubtotals="1" fieldPosition="0">
        <references count="2">
          <reference field="3" count="1" selected="0">
            <x v="4"/>
          </reference>
          <reference field="4" count="1">
            <x v="21"/>
          </reference>
        </references>
      </pivotArea>
    </format>
    <format dxfId="135">
      <pivotArea collapsedLevelsAreSubtotals="1" fieldPosition="0">
        <references count="1">
          <reference field="3" count="1">
            <x v="6"/>
          </reference>
        </references>
      </pivotArea>
    </format>
    <format dxfId="134">
      <pivotArea collapsedLevelsAreSubtotals="1" fieldPosition="0">
        <references count="2">
          <reference field="3" count="1" selected="0">
            <x v="6"/>
          </reference>
          <reference field="4" count="1">
            <x v="5"/>
          </reference>
        </references>
      </pivotArea>
    </format>
    <format dxfId="133">
      <pivotArea collapsedLevelsAreSubtotals="1" fieldPosition="0">
        <references count="2">
          <reference field="3" count="1" selected="0">
            <x v="6"/>
          </reference>
          <reference field="4" count="1">
            <x v="16"/>
          </reference>
        </references>
      </pivotArea>
    </format>
    <format dxfId="132">
      <pivotArea collapsedLevelsAreSubtotals="1" fieldPosition="0">
        <references count="2">
          <reference field="3" count="1" selected="0">
            <x v="6"/>
          </reference>
          <reference field="4" count="1">
            <x v="18"/>
          </reference>
        </references>
      </pivotArea>
    </format>
    <format dxfId="131">
      <pivotArea collapsedLevelsAreSubtotals="1" fieldPosition="0">
        <references count="2">
          <reference field="3" count="1" selected="0">
            <x v="6"/>
          </reference>
          <reference field="4" count="1">
            <x v="17"/>
          </reference>
        </references>
      </pivotArea>
    </format>
    <format dxfId="130">
      <pivotArea collapsedLevelsAreSubtotals="1" fieldPosition="0">
        <references count="1">
          <reference field="3" count="1">
            <x v="1"/>
          </reference>
        </references>
      </pivotArea>
    </format>
    <format dxfId="129">
      <pivotArea collapsedLevelsAreSubtotals="1" fieldPosition="0">
        <references count="2">
          <reference field="3" count="1" selected="0">
            <x v="1"/>
          </reference>
          <reference field="4" count="1">
            <x v="1"/>
          </reference>
        </references>
      </pivotArea>
    </format>
    <format dxfId="128">
      <pivotArea collapsedLevelsAreSubtotals="1" fieldPosition="0">
        <references count="1">
          <reference field="3" count="1">
            <x v="2"/>
          </reference>
        </references>
      </pivotArea>
    </format>
    <format dxfId="127">
      <pivotArea collapsedLevelsAreSubtotals="1" fieldPosition="0">
        <references count="2">
          <reference field="3" count="1" selected="0">
            <x v="2"/>
          </reference>
          <reference field="4" count="1">
            <x v="27"/>
          </reference>
        </references>
      </pivotArea>
    </format>
    <format dxfId="126">
      <pivotArea dataOnly="0" labelOnly="1" fieldPosition="0">
        <references count="1">
          <reference field="3" count="7">
            <x v="0"/>
            <x v="1"/>
            <x v="2"/>
            <x v="3"/>
            <x v="4"/>
            <x v="5"/>
            <x v="6"/>
          </reference>
        </references>
      </pivotArea>
    </format>
    <format dxfId="125">
      <pivotArea dataOnly="0" labelOnly="1" fieldPosition="0">
        <references count="2">
          <reference field="3" count="1" selected="0">
            <x v="3"/>
          </reference>
          <reference field="4" count="8">
            <x v="2"/>
            <x v="13"/>
            <x v="14"/>
            <x v="15"/>
            <x v="31"/>
            <x v="43"/>
            <x v="45"/>
            <x v="70"/>
          </reference>
        </references>
      </pivotArea>
    </format>
    <format dxfId="124">
      <pivotArea dataOnly="0" labelOnly="1" fieldPosition="0">
        <references count="2">
          <reference field="3" count="1" selected="0">
            <x v="5"/>
          </reference>
          <reference field="4" count="11">
            <x v="0"/>
            <x v="4"/>
            <x v="8"/>
            <x v="22"/>
            <x v="24"/>
            <x v="29"/>
            <x v="30"/>
            <x v="35"/>
            <x v="37"/>
            <x v="38"/>
            <x v="44"/>
          </reference>
        </references>
      </pivotArea>
    </format>
    <format dxfId="123">
      <pivotArea dataOnly="0" labelOnly="1" fieldPosition="0">
        <references count="2">
          <reference field="3" count="1" selected="0">
            <x v="0"/>
          </reference>
          <reference field="4" count="6">
            <x v="3"/>
            <x v="7"/>
            <x v="9"/>
            <x v="10"/>
            <x v="19"/>
            <x v="71"/>
          </reference>
        </references>
      </pivotArea>
    </format>
    <format dxfId="122">
      <pivotArea dataOnly="0" labelOnly="1" fieldPosition="0">
        <references count="2">
          <reference field="3" count="1" selected="0">
            <x v="4"/>
          </reference>
          <reference field="4" count="6">
            <x v="6"/>
            <x v="21"/>
            <x v="23"/>
            <x v="28"/>
            <x v="39"/>
            <x v="40"/>
          </reference>
        </references>
      </pivotArea>
    </format>
    <format dxfId="121">
      <pivotArea dataOnly="0" labelOnly="1" fieldPosition="0">
        <references count="2">
          <reference field="3" count="1" selected="0">
            <x v="6"/>
          </reference>
          <reference field="4" count="4">
            <x v="5"/>
            <x v="16"/>
            <x v="17"/>
            <x v="18"/>
          </reference>
        </references>
      </pivotArea>
    </format>
    <format dxfId="120">
      <pivotArea dataOnly="0" labelOnly="1" fieldPosition="0">
        <references count="2">
          <reference field="3" count="1" selected="0">
            <x v="1"/>
          </reference>
          <reference field="4" count="1">
            <x v="1"/>
          </reference>
        </references>
      </pivotArea>
    </format>
    <format dxfId="119">
      <pivotArea dataOnly="0" labelOnly="1" fieldPosition="0">
        <references count="2">
          <reference field="3" count="1" selected="0">
            <x v="2"/>
          </reference>
          <reference field="4" count="1">
            <x v="27"/>
          </reference>
        </references>
      </pivotArea>
    </format>
  </formats>
  <pivotTableStyleInfo name="PivotStyleLight13"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TablaDinámica2"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34" firstHeaderRow="1" firstDataRow="1" firstDataCol="1"/>
  <pivotFields count="4">
    <pivotField axis="axisRow" showAll="0">
      <items count="22">
        <item x="20"/>
        <item x="0"/>
        <item x="2"/>
        <item x="3"/>
        <item x="4"/>
        <item x="5"/>
        <item x="6"/>
        <item x="7"/>
        <item x="8"/>
        <item x="9"/>
        <item x="10"/>
        <item x="11"/>
        <item x="12"/>
        <item x="13"/>
        <item x="14"/>
        <item x="15"/>
        <item x="16"/>
        <item x="17"/>
        <item x="18"/>
        <item x="19"/>
        <item x="1"/>
        <item t="default"/>
      </items>
    </pivotField>
    <pivotField showAll="0"/>
    <pivotField axis="axisRow" showAll="0" sortType="descending">
      <items count="8">
        <item x="5"/>
        <item x="4"/>
        <item x="1"/>
        <item x="0"/>
        <item x="2"/>
        <item x="3"/>
        <item x="6"/>
        <item t="default"/>
      </items>
      <autoSortScope>
        <pivotArea dataOnly="0" outline="0" fieldPosition="0">
          <references count="1">
            <reference field="4294967294" count="1" selected="0">
              <x v="0"/>
            </reference>
          </references>
        </pivotArea>
      </autoSortScope>
    </pivotField>
    <pivotField axis="axisRow" dataField="1" showAll="0" sortType="descending">
      <items count="23">
        <item sd="0" x="6"/>
        <item sd="0" x="10"/>
        <item sd="0" x="11"/>
        <item sd="0" x="13"/>
        <item sd="0" x="7"/>
        <item sd="0" x="5"/>
        <item sd="0" x="9"/>
        <item sd="0" x="3"/>
        <item sd="0" x="0"/>
        <item sd="0" x="14"/>
        <item sd="0" x="2"/>
        <item sd="0" x="4"/>
        <item sd="0" x="1"/>
        <item sd="0" x="15"/>
        <item sd="0" x="19"/>
        <item sd="0" x="12"/>
        <item sd="0" x="16"/>
        <item sd="0" x="18"/>
        <item sd="0" x="8"/>
        <item sd="0" x="17"/>
        <item sd="0" x="20"/>
        <item sd="0" x="21"/>
        <item t="default"/>
      </items>
      <autoSortScope>
        <pivotArea dataOnly="0" outline="0" fieldPosition="0">
          <references count="1">
            <reference field="4294967294" count="1" selected="0">
              <x v="0"/>
            </reference>
          </references>
        </pivotArea>
      </autoSortScope>
    </pivotField>
  </pivotFields>
  <rowFields count="3">
    <field x="2"/>
    <field x="3"/>
    <field x="0"/>
  </rowFields>
  <rowItems count="31">
    <i>
      <x v="2"/>
    </i>
    <i r="1">
      <x v="10"/>
    </i>
    <i r="1">
      <x v="7"/>
    </i>
    <i r="1">
      <x v="12"/>
    </i>
    <i r="1">
      <x v="2"/>
    </i>
    <i>
      <x v="4"/>
    </i>
    <i r="1">
      <x v="5"/>
    </i>
    <i r="1">
      <x v="16"/>
    </i>
    <i r="1">
      <x v="14"/>
    </i>
    <i>
      <x v="5"/>
    </i>
    <i r="1">
      <x v="1"/>
    </i>
    <i r="1">
      <x/>
    </i>
    <i r="1">
      <x v="19"/>
    </i>
    <i>
      <x v="3"/>
    </i>
    <i r="1">
      <x v="8"/>
    </i>
    <i r="1">
      <x v="11"/>
    </i>
    <i r="1">
      <x v="18"/>
    </i>
    <i r="1">
      <x v="17"/>
    </i>
    <i>
      <x v="1"/>
    </i>
    <i r="1">
      <x v="4"/>
    </i>
    <i r="1">
      <x v="6"/>
    </i>
    <i r="1">
      <x v="13"/>
    </i>
    <i r="1">
      <x v="20"/>
    </i>
    <i r="1">
      <x v="18"/>
    </i>
    <i>
      <x v="6"/>
    </i>
    <i r="1">
      <x v="9"/>
    </i>
    <i r="1">
      <x v="21"/>
    </i>
    <i r="1">
      <x v="3"/>
    </i>
    <i>
      <x/>
    </i>
    <i r="1">
      <x v="15"/>
    </i>
    <i t="grand">
      <x/>
    </i>
  </rowItems>
  <colItems count="1">
    <i/>
  </colItems>
  <dataFields count="1">
    <dataField name="Cuenta de SUBCLASIFICACION" fld="3" subtotal="count" baseField="0" baseItem="0"/>
  </dataFields>
  <formats count="7">
    <format dxfId="6">
      <pivotArea type="all" dataOnly="0" outline="0" fieldPosition="0"/>
    </format>
    <format dxfId="5">
      <pivotArea type="all" dataOnly="0" outline="0" fieldPosition="0"/>
    </format>
    <format dxfId="4">
      <pivotArea outline="0" collapsedLevelsAreSubtotals="1" fieldPosition="0"/>
    </format>
    <format dxfId="3">
      <pivotArea field="2" type="button" dataOnly="0" labelOnly="1" outline="0" axis="axisRow" fieldPosition="0"/>
    </format>
    <format dxfId="2">
      <pivotArea dataOnly="0" labelOnly="1" outline="0" axis="axisValues" fieldPosition="0"/>
    </format>
    <format dxfId="1">
      <pivotArea dataOnly="0" labelOnly="1" fieldPosition="0">
        <references count="1">
          <reference field="2" count="0"/>
        </references>
      </pivotArea>
    </format>
    <format dxfId="0">
      <pivotArea dataOnly="0" labelOnly="1" grandRow="1" outline="0" fieldPosition="0"/>
    </format>
  </formats>
  <pivotTableStyleInfo name="PivotStyleLight13"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700-000001000000}" name="TablaDinámica5" cacheId="3" applyNumberFormats="0" applyBorderFormats="0" applyFontFormats="0" applyPatternFormats="0" applyAlignmentFormats="0" applyWidthHeightFormats="1" dataCaption="Valores" updatedVersion="7" minRefreshableVersion="3" useAutoFormatting="1" itemPrintTitles="1" createdVersion="6" indent="0" outline="1" outlineData="1" multipleFieldFilters="0">
  <location ref="C3:D35" firstHeaderRow="1" firstDataRow="1" firstDataCol="1"/>
  <pivotFields count="5">
    <pivotField axis="axisRow" showAll="0" defaultSubtotal="0">
      <items count="4">
        <item h="1" x="2"/>
        <item h="1" x="0"/>
        <item h="1" x="1"/>
        <item x="3"/>
      </items>
    </pivotField>
    <pivotField axis="axisRow" showAll="0">
      <items count="27">
        <item sd="0" x="20"/>
        <item sd="0" x="11"/>
        <item sd="0" x="24"/>
        <item sd="0" x="19"/>
        <item sd="0" x="16"/>
        <item sd="0" x="12"/>
        <item sd="0" x="13"/>
        <item sd="0" x="4"/>
        <item sd="0" x="5"/>
        <item sd="0" x="25"/>
        <item sd="0" x="17"/>
        <item sd="0" x="6"/>
        <item sd="0" x="9"/>
        <item sd="0" x="3"/>
        <item sd="0" x="14"/>
        <item sd="0" x="1"/>
        <item sd="0" x="8"/>
        <item sd="0" x="15"/>
        <item sd="0" x="0"/>
        <item x="2"/>
        <item sd="0" x="7"/>
        <item sd="0" x="10"/>
        <item x="18"/>
        <item sd="0" x="21"/>
        <item sd="0" x="22"/>
        <item x="23"/>
        <item t="default"/>
      </items>
    </pivotField>
    <pivotField showAll="0"/>
    <pivotField axis="axisRow" showAll="0" sortType="descending">
      <items count="18">
        <item x="11"/>
        <item m="1" x="15"/>
        <item x="9"/>
        <item m="1" x="16"/>
        <item x="0"/>
        <item x="1"/>
        <item x="2"/>
        <item x="3"/>
        <item x="4"/>
        <item x="5"/>
        <item x="6"/>
        <item x="7"/>
        <item x="8"/>
        <item x="10"/>
        <item x="12"/>
        <item x="13"/>
        <item x="14"/>
        <item t="default"/>
      </items>
      <autoSortScope>
        <pivotArea dataOnly="0" outline="0" fieldPosition="0">
          <references count="1">
            <reference field="4294967294" count="1" selected="0">
              <x v="0"/>
            </reference>
          </references>
        </pivotArea>
      </autoSortScope>
    </pivotField>
    <pivotField axis="axisRow" dataField="1" showAll="0" sortType="descending">
      <items count="73">
        <item sd="0" x="57"/>
        <item sd="0" x="71"/>
        <item sd="0" x="70"/>
        <item sd="0" x="69"/>
        <item sd="0" x="68"/>
        <item sd="0" x="25"/>
        <item sd="0" x="67"/>
        <item sd="0" x="60"/>
        <item x="11"/>
        <item sd="0" x="47"/>
        <item sd="0" x="30"/>
        <item sd="0" x="16"/>
        <item sd="0" x="65"/>
        <item sd="0" x="56"/>
        <item sd="0" x="63"/>
        <item sd="0" x="39"/>
        <item x="0"/>
        <item x="1"/>
        <item x="2"/>
        <item x="3"/>
        <item x="4"/>
        <item x="5"/>
        <item x="6"/>
        <item x="7"/>
        <item x="8"/>
        <item x="9"/>
        <item x="10"/>
        <item x="12"/>
        <item x="40"/>
        <item x="13"/>
        <item sd="0" x="59"/>
        <item x="15"/>
        <item x="17"/>
        <item x="18"/>
        <item x="19"/>
        <item x="20"/>
        <item x="21"/>
        <item x="22"/>
        <item x="23"/>
        <item x="24"/>
        <item x="26"/>
        <item x="27"/>
        <item x="28"/>
        <item x="29"/>
        <item x="31"/>
        <item x="14"/>
        <item x="32"/>
        <item x="33"/>
        <item x="34"/>
        <item x="35"/>
        <item x="36"/>
        <item x="37"/>
        <item x="42"/>
        <item x="38"/>
        <item x="41"/>
        <item x="44"/>
        <item x="46"/>
        <item sd="0" x="48"/>
        <item sd="0" x="49"/>
        <item x="50"/>
        <item x="51"/>
        <item x="52"/>
        <item sd="0" x="53"/>
        <item x="54"/>
        <item x="55"/>
        <item x="58"/>
        <item sd="0" x="61"/>
        <item x="62"/>
        <item x="64"/>
        <item sd="0" x="66"/>
        <item x="43"/>
        <item x="45"/>
        <item t="default"/>
      </items>
      <autoSortScope>
        <pivotArea dataOnly="0" outline="0" fieldPosition="0">
          <references count="1">
            <reference field="4294967294" count="1" selected="0">
              <x v="0"/>
            </reference>
          </references>
        </pivotArea>
      </autoSortScope>
    </pivotField>
  </pivotFields>
  <rowFields count="4">
    <field x="3"/>
    <field x="4"/>
    <field x="1"/>
    <field x="0"/>
  </rowFields>
  <rowItems count="32">
    <i>
      <x v="2"/>
    </i>
    <i r="1">
      <x v="9"/>
    </i>
    <i r="1">
      <x v="6"/>
    </i>
    <i r="1">
      <x v="2"/>
    </i>
    <i r="1">
      <x v="69"/>
    </i>
    <i>
      <x v="14"/>
    </i>
    <i r="1">
      <x v="4"/>
    </i>
    <i r="1">
      <x v="14"/>
    </i>
    <i r="1">
      <x v="13"/>
    </i>
    <i>
      <x v="16"/>
    </i>
    <i r="1">
      <x v="1"/>
    </i>
    <i r="1">
      <x/>
    </i>
    <i r="1">
      <x v="66"/>
    </i>
    <i>
      <x v="12"/>
    </i>
    <i r="1">
      <x v="3"/>
    </i>
    <i r="1">
      <x v="5"/>
    </i>
    <i r="1">
      <x v="12"/>
    </i>
    <i r="1">
      <x v="30"/>
    </i>
    <i r="1">
      <x v="58"/>
    </i>
    <i>
      <x v="13"/>
    </i>
    <i r="1">
      <x v="10"/>
    </i>
    <i r="1">
      <x v="7"/>
    </i>
    <i r="1">
      <x v="57"/>
    </i>
    <i>
      <x v="15"/>
    </i>
    <i r="1">
      <x v="8"/>
    </i>
    <i r="2">
      <x v="1"/>
    </i>
    <i r="2">
      <x v="8"/>
    </i>
    <i r="1">
      <x v="68"/>
    </i>
    <i r="2">
      <x v="12"/>
    </i>
    <i r="1">
      <x v="61"/>
    </i>
    <i r="2">
      <x v="4"/>
    </i>
    <i t="grand">
      <x/>
    </i>
  </rowItems>
  <colItems count="1">
    <i/>
  </colItems>
  <dataFields count="1">
    <dataField name="Cuenta de SUBCLASIFICACION" fld="4" subtotal="count" baseField="0" baseItem="0"/>
  </dataFields>
  <formats count="47">
    <format dxfId="53">
      <pivotArea type="all" dataOnly="0" outline="0" fieldPosition="0"/>
    </format>
    <format dxfId="52">
      <pivotArea type="all" dataOnly="0" outline="0" fieldPosition="0"/>
    </format>
    <format dxfId="51">
      <pivotArea outline="0" collapsedLevelsAreSubtotals="1" fieldPosition="0"/>
    </format>
    <format dxfId="50">
      <pivotArea field="3" type="button" dataOnly="0" labelOnly="1" outline="0" axis="axisRow" fieldPosition="0"/>
    </format>
    <format dxfId="49">
      <pivotArea dataOnly="0" labelOnly="1" outline="0" axis="axisValues" fieldPosition="0"/>
    </format>
    <format dxfId="48">
      <pivotArea dataOnly="0" labelOnly="1" fieldPosition="0">
        <references count="1">
          <reference field="3" count="0"/>
        </references>
      </pivotArea>
    </format>
    <format dxfId="47">
      <pivotArea dataOnly="0" labelOnly="1" grandRow="1" outline="0" fieldPosition="0"/>
    </format>
    <format dxfId="46">
      <pivotArea dataOnly="0" fieldPosition="0">
        <references count="1">
          <reference field="4" count="1">
            <x v="57"/>
          </reference>
        </references>
      </pivotArea>
    </format>
    <format dxfId="45">
      <pivotArea collapsedLevelsAreSubtotals="1" fieldPosition="0">
        <references count="1">
          <reference field="3" count="1">
            <x v="2"/>
          </reference>
        </references>
      </pivotArea>
    </format>
    <format dxfId="44">
      <pivotArea collapsedLevelsAreSubtotals="1" fieldPosition="0">
        <references count="2">
          <reference field="3" count="1" selected="0">
            <x v="2"/>
          </reference>
          <reference field="4" count="1">
            <x v="9"/>
          </reference>
        </references>
      </pivotArea>
    </format>
    <format dxfId="43">
      <pivotArea collapsedLevelsAreSubtotals="1" fieldPosition="0">
        <references count="2">
          <reference field="3" count="1" selected="0">
            <x v="2"/>
          </reference>
          <reference field="4" count="1">
            <x v="6"/>
          </reference>
        </references>
      </pivotArea>
    </format>
    <format dxfId="42">
      <pivotArea collapsedLevelsAreSubtotals="1" fieldPosition="0">
        <references count="2">
          <reference field="3" count="1" selected="0">
            <x v="2"/>
          </reference>
          <reference field="4" count="1">
            <x v="2"/>
          </reference>
        </references>
      </pivotArea>
    </format>
    <format dxfId="41">
      <pivotArea collapsedLevelsAreSubtotals="1" fieldPosition="0">
        <references count="2">
          <reference field="3" count="1" selected="0">
            <x v="2"/>
          </reference>
          <reference field="4" count="1">
            <x v="69"/>
          </reference>
        </references>
      </pivotArea>
    </format>
    <format dxfId="40">
      <pivotArea collapsedLevelsAreSubtotals="1" fieldPosition="0">
        <references count="1">
          <reference field="3" count="1">
            <x v="14"/>
          </reference>
        </references>
      </pivotArea>
    </format>
    <format dxfId="39">
      <pivotArea collapsedLevelsAreSubtotals="1" fieldPosition="0">
        <references count="2">
          <reference field="3" count="1" selected="0">
            <x v="14"/>
          </reference>
          <reference field="4" count="1">
            <x v="4"/>
          </reference>
        </references>
      </pivotArea>
    </format>
    <format dxfId="38">
      <pivotArea collapsedLevelsAreSubtotals="1" fieldPosition="0">
        <references count="2">
          <reference field="3" count="1" selected="0">
            <x v="14"/>
          </reference>
          <reference field="4" count="1">
            <x v="14"/>
          </reference>
        </references>
      </pivotArea>
    </format>
    <format dxfId="37">
      <pivotArea collapsedLevelsAreSubtotals="1" fieldPosition="0">
        <references count="2">
          <reference field="3" count="1" selected="0">
            <x v="14"/>
          </reference>
          <reference field="4" count="1">
            <x v="13"/>
          </reference>
        </references>
      </pivotArea>
    </format>
    <format dxfId="36">
      <pivotArea collapsedLevelsAreSubtotals="1" fieldPosition="0">
        <references count="1">
          <reference field="3" count="1">
            <x v="16"/>
          </reference>
        </references>
      </pivotArea>
    </format>
    <format dxfId="35">
      <pivotArea collapsedLevelsAreSubtotals="1" fieldPosition="0">
        <references count="2">
          <reference field="3" count="1" selected="0">
            <x v="16"/>
          </reference>
          <reference field="4" count="1">
            <x v="1"/>
          </reference>
        </references>
      </pivotArea>
    </format>
    <format dxfId="34">
      <pivotArea collapsedLevelsAreSubtotals="1" fieldPosition="0">
        <references count="2">
          <reference field="3" count="1" selected="0">
            <x v="16"/>
          </reference>
          <reference field="4" count="1">
            <x v="0"/>
          </reference>
        </references>
      </pivotArea>
    </format>
    <format dxfId="33">
      <pivotArea collapsedLevelsAreSubtotals="1" fieldPosition="0">
        <references count="2">
          <reference field="3" count="1" selected="0">
            <x v="16"/>
          </reference>
          <reference field="4" count="1">
            <x v="66"/>
          </reference>
        </references>
      </pivotArea>
    </format>
    <format dxfId="32">
      <pivotArea collapsedLevelsAreSubtotals="1" fieldPosition="0">
        <references count="1">
          <reference field="3" count="1">
            <x v="12"/>
          </reference>
        </references>
      </pivotArea>
    </format>
    <format dxfId="31">
      <pivotArea collapsedLevelsAreSubtotals="1" fieldPosition="0">
        <references count="2">
          <reference field="3" count="1" selected="0">
            <x v="12"/>
          </reference>
          <reference field="4" count="1">
            <x v="3"/>
          </reference>
        </references>
      </pivotArea>
    </format>
    <format dxfId="30">
      <pivotArea collapsedLevelsAreSubtotals="1" fieldPosition="0">
        <references count="2">
          <reference field="3" count="1" selected="0">
            <x v="12"/>
          </reference>
          <reference field="4" count="1">
            <x v="5"/>
          </reference>
        </references>
      </pivotArea>
    </format>
    <format dxfId="29">
      <pivotArea collapsedLevelsAreSubtotals="1" fieldPosition="0">
        <references count="2">
          <reference field="3" count="1" selected="0">
            <x v="12"/>
          </reference>
          <reference field="4" count="1">
            <x v="12"/>
          </reference>
        </references>
      </pivotArea>
    </format>
    <format dxfId="28">
      <pivotArea collapsedLevelsAreSubtotals="1" fieldPosition="0">
        <references count="2">
          <reference field="3" count="1" selected="0">
            <x v="12"/>
          </reference>
          <reference field="4" count="1">
            <x v="30"/>
          </reference>
        </references>
      </pivotArea>
    </format>
    <format dxfId="27">
      <pivotArea collapsedLevelsAreSubtotals="1" fieldPosition="0">
        <references count="2">
          <reference field="3" count="1" selected="0">
            <x v="12"/>
          </reference>
          <reference field="4" count="1">
            <x v="58"/>
          </reference>
        </references>
      </pivotArea>
    </format>
    <format dxfId="26">
      <pivotArea collapsedLevelsAreSubtotals="1" fieldPosition="0">
        <references count="1">
          <reference field="3" count="1">
            <x v="13"/>
          </reference>
        </references>
      </pivotArea>
    </format>
    <format dxfId="25">
      <pivotArea collapsedLevelsAreSubtotals="1" fieldPosition="0">
        <references count="2">
          <reference field="3" count="1" selected="0">
            <x v="13"/>
          </reference>
          <reference field="4" count="1">
            <x v="10"/>
          </reference>
        </references>
      </pivotArea>
    </format>
    <format dxfId="24">
      <pivotArea collapsedLevelsAreSubtotals="1" fieldPosition="0">
        <references count="2">
          <reference field="3" count="1" selected="0">
            <x v="13"/>
          </reference>
          <reference field="4" count="1">
            <x v="7"/>
          </reference>
        </references>
      </pivotArea>
    </format>
    <format dxfId="23">
      <pivotArea collapsedLevelsAreSubtotals="1" fieldPosition="0">
        <references count="2">
          <reference field="3" count="1" selected="0">
            <x v="13"/>
          </reference>
          <reference field="4" count="1">
            <x v="57"/>
          </reference>
        </references>
      </pivotArea>
    </format>
    <format dxfId="22">
      <pivotArea collapsedLevelsAreSubtotals="1" fieldPosition="0">
        <references count="1">
          <reference field="3" count="1">
            <x v="15"/>
          </reference>
        </references>
      </pivotArea>
    </format>
    <format dxfId="21">
      <pivotArea collapsedLevelsAreSubtotals="1" fieldPosition="0">
        <references count="2">
          <reference field="3" count="1" selected="0">
            <x v="15"/>
          </reference>
          <reference field="4" count="1">
            <x v="8"/>
          </reference>
        </references>
      </pivotArea>
    </format>
    <format dxfId="20">
      <pivotArea collapsedLevelsAreSubtotals="1" fieldPosition="0">
        <references count="3">
          <reference field="1" count="1">
            <x v="1"/>
          </reference>
          <reference field="3" count="1" selected="0">
            <x v="15"/>
          </reference>
          <reference field="4" count="1" selected="0">
            <x v="8"/>
          </reference>
        </references>
      </pivotArea>
    </format>
    <format dxfId="19">
      <pivotArea collapsedLevelsAreSubtotals="1" fieldPosition="0">
        <references count="3">
          <reference field="1" count="1">
            <x v="8"/>
          </reference>
          <reference field="3" count="1" selected="0">
            <x v="15"/>
          </reference>
          <reference field="4" count="1" selected="0">
            <x v="8"/>
          </reference>
        </references>
      </pivotArea>
    </format>
    <format dxfId="18">
      <pivotArea collapsedLevelsAreSubtotals="1" fieldPosition="0">
        <references count="2">
          <reference field="3" count="1" selected="0">
            <x v="15"/>
          </reference>
          <reference field="4" count="1">
            <x v="68"/>
          </reference>
        </references>
      </pivotArea>
    </format>
    <format dxfId="17">
      <pivotArea collapsedLevelsAreSubtotals="1" fieldPosition="0">
        <references count="3">
          <reference field="1" count="1">
            <x v="12"/>
          </reference>
          <reference field="3" count="1" selected="0">
            <x v="15"/>
          </reference>
          <reference field="4" count="1" selected="0">
            <x v="68"/>
          </reference>
        </references>
      </pivotArea>
    </format>
    <format dxfId="16">
      <pivotArea collapsedLevelsAreSubtotals="1" fieldPosition="0">
        <references count="2">
          <reference field="3" count="1" selected="0">
            <x v="15"/>
          </reference>
          <reference field="4" count="1">
            <x v="61"/>
          </reference>
        </references>
      </pivotArea>
    </format>
    <format dxfId="15">
      <pivotArea dataOnly="0" labelOnly="1" fieldPosition="0">
        <references count="1">
          <reference field="3" count="6">
            <x v="2"/>
            <x v="12"/>
            <x v="13"/>
            <x v="14"/>
            <x v="15"/>
            <x v="16"/>
          </reference>
        </references>
      </pivotArea>
    </format>
    <format dxfId="14">
      <pivotArea dataOnly="0" labelOnly="1" fieldPosition="0">
        <references count="2">
          <reference field="3" count="1" selected="0">
            <x v="2"/>
          </reference>
          <reference field="4" count="4">
            <x v="2"/>
            <x v="6"/>
            <x v="9"/>
            <x v="69"/>
          </reference>
        </references>
      </pivotArea>
    </format>
    <format dxfId="13">
      <pivotArea dataOnly="0" labelOnly="1" fieldPosition="0">
        <references count="2">
          <reference field="3" count="1" selected="0">
            <x v="14"/>
          </reference>
          <reference field="4" count="3">
            <x v="4"/>
            <x v="13"/>
            <x v="14"/>
          </reference>
        </references>
      </pivotArea>
    </format>
    <format dxfId="12">
      <pivotArea dataOnly="0" labelOnly="1" fieldPosition="0">
        <references count="2">
          <reference field="3" count="1" selected="0">
            <x v="16"/>
          </reference>
          <reference field="4" count="3">
            <x v="0"/>
            <x v="1"/>
            <x v="66"/>
          </reference>
        </references>
      </pivotArea>
    </format>
    <format dxfId="11">
      <pivotArea dataOnly="0" labelOnly="1" fieldPosition="0">
        <references count="2">
          <reference field="3" count="1" selected="0">
            <x v="12"/>
          </reference>
          <reference field="4" count="5">
            <x v="3"/>
            <x v="5"/>
            <x v="12"/>
            <x v="30"/>
            <x v="58"/>
          </reference>
        </references>
      </pivotArea>
    </format>
    <format dxfId="10">
      <pivotArea dataOnly="0" labelOnly="1" fieldPosition="0">
        <references count="2">
          <reference field="3" count="1" selected="0">
            <x v="13"/>
          </reference>
          <reference field="4" count="3">
            <x v="7"/>
            <x v="10"/>
            <x v="57"/>
          </reference>
        </references>
      </pivotArea>
    </format>
    <format dxfId="9">
      <pivotArea dataOnly="0" labelOnly="1" fieldPosition="0">
        <references count="2">
          <reference field="3" count="1" selected="0">
            <x v="15"/>
          </reference>
          <reference field="4" count="3">
            <x v="8"/>
            <x v="61"/>
            <x v="68"/>
          </reference>
        </references>
      </pivotArea>
    </format>
    <format dxfId="8">
      <pivotArea dataOnly="0" labelOnly="1" fieldPosition="0">
        <references count="3">
          <reference field="1" count="2">
            <x v="1"/>
            <x v="8"/>
          </reference>
          <reference field="3" count="1" selected="0">
            <x v="15"/>
          </reference>
          <reference field="4" count="1" selected="0">
            <x v="8"/>
          </reference>
        </references>
      </pivotArea>
    </format>
    <format dxfId="7">
      <pivotArea dataOnly="0" labelOnly="1" fieldPosition="0">
        <references count="3">
          <reference field="1" count="1">
            <x v="12"/>
          </reference>
          <reference field="3" count="1" selected="0">
            <x v="15"/>
          </reference>
          <reference field="4" count="1" selected="0">
            <x v="68"/>
          </reference>
        </references>
      </pivotArea>
    </format>
  </formats>
  <pivotTableStyleInfo name="PivotStyleLight13" showRowHeaders="1" showColHeaders="1" showRowStripes="0" showColStripes="0" showLastColumn="1"/>
  <extLs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la6" displayName="Tabla6" ref="A1:G151" totalsRowShown="0">
  <autoFilter ref="A1:G151" xr:uid="{00000000-0009-0000-0100-000006000000}"/>
  <tableColumns count="7">
    <tableColumn id="1" xr3:uid="{00000000-0010-0000-0000-000001000000}" name="ID"/>
    <tableColumn id="2" xr3:uid="{00000000-0010-0000-0000-000002000000}" name="AÑO"/>
    <tableColumn id="3" xr3:uid="{00000000-0010-0000-0000-000003000000}" name="FACTOR"/>
    <tableColumn id="4" xr3:uid="{00000000-0010-0000-0000-000004000000}" name="PROCESO"/>
    <tableColumn id="5" xr3:uid="{00000000-0010-0000-0000-000005000000}" name="CAUSA"/>
    <tableColumn id="6" xr3:uid="{00000000-0010-0000-0000-000006000000}" name="CLASIFICACIÓN"/>
    <tableColumn id="7" xr3:uid="{00000000-0010-0000-0000-000007000000}" name="SUBCLASIFICACIÓ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a3" displayName="Tabla3" ref="A1:G136" totalsRowShown="0">
  <autoFilter ref="A1:G136" xr:uid="{00000000-0009-0000-0100-000003000000}"/>
  <tableColumns count="7">
    <tableColumn id="1" xr3:uid="{00000000-0010-0000-0100-000001000000}" name="ID"/>
    <tableColumn id="2" xr3:uid="{00000000-0010-0000-0100-000002000000}" name="AÑO"/>
    <tableColumn id="3" xr3:uid="{00000000-0010-0000-0100-000003000000}" name="FACTOR"/>
    <tableColumn id="4" xr3:uid="{00000000-0010-0000-0100-000004000000}" name="PROCESO"/>
    <tableColumn id="5" xr3:uid="{00000000-0010-0000-0100-000005000000}" name="CAUSA"/>
    <tableColumn id="6" xr3:uid="{00000000-0010-0000-0100-000006000000}" name="CLASIFICACIÓN"/>
    <tableColumn id="7" xr3:uid="{00000000-0010-0000-0100-000007000000}" name="SUBCLASIFICACIÓ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a5" displayName="Tabla5" ref="A1:G309" totalsRowShown="0">
  <autoFilter ref="A1:G309" xr:uid="{00000000-0009-0000-0100-000005000000}"/>
  <tableColumns count="7">
    <tableColumn id="1" xr3:uid="{00000000-0010-0000-0200-000001000000}" name="ID"/>
    <tableColumn id="2" xr3:uid="{00000000-0010-0000-0200-000002000000}" name="AÑO"/>
    <tableColumn id="3" xr3:uid="{00000000-0010-0000-0200-000003000000}" name="FACTOR"/>
    <tableColumn id="4" xr3:uid="{00000000-0010-0000-0200-000004000000}" name="PROCESO"/>
    <tableColumn id="5" xr3:uid="{00000000-0010-0000-0200-000005000000}" name="CAUSA"/>
    <tableColumn id="6" xr3:uid="{00000000-0010-0000-0200-000006000000}" name="CLASIFICACIÓN"/>
    <tableColumn id="7" xr3:uid="{00000000-0010-0000-0200-000007000000}" name="SUBCLASIFICACIÓ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a2" displayName="Tabla2" ref="A1:G2" totalsRowShown="0">
  <autoFilter ref="A1:G2" xr:uid="{00000000-0009-0000-0100-000002000000}"/>
  <tableColumns count="7">
    <tableColumn id="1" xr3:uid="{00000000-0010-0000-0300-000001000000}" name="ID"/>
    <tableColumn id="2" xr3:uid="{00000000-0010-0000-0300-000002000000}" name="AÑO"/>
    <tableColumn id="3" xr3:uid="{00000000-0010-0000-0300-000003000000}" name="FACTOR"/>
    <tableColumn id="4" xr3:uid="{00000000-0010-0000-0300-000004000000}" name="PROCESO"/>
    <tableColumn id="5" xr3:uid="{00000000-0010-0000-0300-000005000000}" name="CAUSA"/>
    <tableColumn id="6" xr3:uid="{00000000-0010-0000-0300-000006000000}" name="CLASIFICACIÓN"/>
    <tableColumn id="7" xr3:uid="{00000000-0010-0000-0300-000007000000}" name="SUBCLASIFICACIÓ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a1" displayName="Tabla1" ref="A1:G322" totalsRowShown="0">
  <autoFilter ref="A1:G322" xr:uid="{00000000-0009-0000-0100-000001000000}"/>
  <tableColumns count="7">
    <tableColumn id="1" xr3:uid="{00000000-0010-0000-0400-000001000000}" name="ID"/>
    <tableColumn id="2" xr3:uid="{00000000-0010-0000-0400-000002000000}" name="AÑO"/>
    <tableColumn id="3" xr3:uid="{00000000-0010-0000-0400-000003000000}" name="FACTOR"/>
    <tableColumn id="4" xr3:uid="{00000000-0010-0000-0400-000004000000}" name="PROCESO"/>
    <tableColumn id="5" xr3:uid="{00000000-0010-0000-0400-000005000000}" name="CAUSA"/>
    <tableColumn id="6" xr3:uid="{00000000-0010-0000-0400-000006000000}" name="CLASIFICACIÓN"/>
    <tableColumn id="7" xr3:uid="{00000000-0010-0000-0400-000007000000}" name="SUBCLASIFICACIÓ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2.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3.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ivotTable" Target="../pivotTables/pivotTable4.xml"/><Relationship Id="rId1" Type="http://schemas.openxmlformats.org/officeDocument/2006/relationships/pivotTable" Target="../pivotTables/pivotTable3.xml"/><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6.xml"/><Relationship Id="rId1" Type="http://schemas.openxmlformats.org/officeDocument/2006/relationships/pivotTable" Target="../pivotTables/pivotTable5.xml"/><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ivotTable" Target="../pivotTables/pivotTable8.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4"/>
  <sheetViews>
    <sheetView zoomScale="70" zoomScaleNormal="70" workbookViewId="0">
      <selection activeCell="D2" sqref="D2"/>
    </sheetView>
  </sheetViews>
  <sheetFormatPr baseColWidth="10" defaultColWidth="11.42578125" defaultRowHeight="15" x14ac:dyDescent="0.25"/>
  <cols>
    <col min="1" max="1" width="23.7109375" style="28" customWidth="1"/>
    <col min="2" max="2" width="26.5703125" style="8" customWidth="1"/>
    <col min="3" max="3" width="36.85546875" style="29" customWidth="1"/>
    <col min="4" max="4" width="20" style="29" customWidth="1"/>
    <col min="5" max="5" width="54" style="159" customWidth="1"/>
    <col min="6" max="6" width="19.140625" style="29" customWidth="1"/>
    <col min="7" max="7" width="60.28515625" style="150" customWidth="1"/>
    <col min="8" max="16384" width="11.42578125" style="1"/>
  </cols>
  <sheetData>
    <row r="1" spans="1:7" s="188" customFormat="1" ht="31.5" x14ac:dyDescent="0.25">
      <c r="A1" s="207" t="s">
        <v>1524</v>
      </c>
      <c r="B1" s="207"/>
      <c r="C1" s="183" t="s">
        <v>1525</v>
      </c>
      <c r="D1" s="184" t="s">
        <v>1526</v>
      </c>
      <c r="E1" s="184" t="s">
        <v>1527</v>
      </c>
      <c r="F1" s="184" t="s">
        <v>1528</v>
      </c>
      <c r="G1" s="184" t="s">
        <v>1527</v>
      </c>
    </row>
    <row r="2" spans="1:7" ht="210" x14ac:dyDescent="0.25">
      <c r="A2" s="213" t="s">
        <v>9</v>
      </c>
      <c r="B2" s="164" t="s">
        <v>10</v>
      </c>
      <c r="C2" s="11" t="s">
        <v>1529</v>
      </c>
      <c r="D2" s="12" t="e">
        <f>GETPIVOTDATA("SUBCLASIFICACIÓN",#REF!,"CLASIFICACIÓN","TALENTO HUMANO ","SUBCLASIFICACIÓN","COMPETENCIA")</f>
        <v>#REF!</v>
      </c>
      <c r="E2" s="32" t="s">
        <v>1530</v>
      </c>
      <c r="F2" s="14" t="e">
        <f>GETPIVOTDATA("SUBCLASIFICACIÓN",#REF!,"CLASIFICACIÓN","TALENTO HUMANO ","SUBCLASIFICACIÓN","COMPETENCIA")</f>
        <v>#REF!</v>
      </c>
      <c r="G2" s="155" t="s">
        <v>1531</v>
      </c>
    </row>
    <row r="3" spans="1:7" ht="120" x14ac:dyDescent="0.25">
      <c r="A3" s="214"/>
      <c r="B3" s="164" t="s">
        <v>26</v>
      </c>
      <c r="C3" s="14" t="s">
        <v>1532</v>
      </c>
      <c r="D3" s="12" t="e">
        <f>GETPIVOTDATA("SUBCLASIFICACIÓN",#REF!,"CLASIFICACIÓN","TALENTO HUMANO ","SUBCLASIFICACIÓN","GESTIÓN DEL CONOCIMIENTO")</f>
        <v>#REF!</v>
      </c>
      <c r="E3" s="32" t="s">
        <v>1533</v>
      </c>
      <c r="F3" s="14" t="e">
        <f>GETPIVOTDATA("SUBCLASIFICACIÓN",#REF!,"CLASIFICACIÓN","TALENTO HUMANO ","SUBCLASIFICACIÓN","GESTIÓN DEL CONOCIMIENTO")</f>
        <v>#REF!</v>
      </c>
      <c r="G3" s="155" t="s">
        <v>1534</v>
      </c>
    </row>
    <row r="4" spans="1:7" ht="135" x14ac:dyDescent="0.25">
      <c r="A4" s="214"/>
      <c r="B4" s="164" t="s">
        <v>173</v>
      </c>
      <c r="C4" s="11" t="s">
        <v>1535</v>
      </c>
      <c r="D4" s="12" t="e">
        <f>GETPIVOTDATA("SUBCLASIFICACIÓN",#REF!,"CLASIFICACIÓN","TALENTO HUMANO ","SUBCLASIFICACIÓN","DESARROLLO PROFESIONAL")</f>
        <v>#REF!</v>
      </c>
      <c r="E4" s="32" t="s">
        <v>1536</v>
      </c>
      <c r="F4" s="14" t="e">
        <f>GETPIVOTDATA("SUBCLASIFICACIÓN",#REF!,"CLASIFICACIÓN","TALENTO HUMANO ","SUBCLASIFICACIÓN","DESARROLLO PROFESIONAL")</f>
        <v>#REF!</v>
      </c>
      <c r="G4" s="155" t="s">
        <v>1537</v>
      </c>
    </row>
    <row r="5" spans="1:7" ht="135" x14ac:dyDescent="0.25">
      <c r="A5" s="214"/>
      <c r="B5" s="164" t="s">
        <v>1538</v>
      </c>
      <c r="C5" s="14" t="s">
        <v>1539</v>
      </c>
      <c r="D5" s="12" t="e">
        <f>GETPIVOTDATA("SUBCLASIFICACIÓN",#REF!,"CLASIFICACIÓN","TALENTO HUMANO ","SUBCLASIFICACIÓN","ROLES Y RESPONSABILIDADES")</f>
        <v>#REF!</v>
      </c>
      <c r="E5" s="150" t="s">
        <v>69</v>
      </c>
      <c r="F5" s="14" t="e">
        <f>GETPIVOTDATA("SUBCLASIFICACIÓN",#REF!,"CLASIFICACIÓN","TALENTO HUMANO ","SUBCLASIFICACIÓN","ROLES Y RESPONSABILIDADES")</f>
        <v>#REF!</v>
      </c>
      <c r="G5" s="155" t="s">
        <v>1540</v>
      </c>
    </row>
    <row r="6" spans="1:7" ht="179.25" customHeight="1" x14ac:dyDescent="0.25">
      <c r="A6" s="214"/>
      <c r="B6" s="164" t="s">
        <v>18</v>
      </c>
      <c r="C6" s="11" t="s">
        <v>1541</v>
      </c>
      <c r="D6" s="12" t="e">
        <f>GETPIVOTDATA("SUBCLASIFICACIÓN",#REF!,"CLASIFICACIÓN","TALENTO HUMANO ","SUBCLASIFICACIÓN","TOMA DE CONCIENCIA ")</f>
        <v>#REF!</v>
      </c>
      <c r="E6" s="32" t="s">
        <v>1542</v>
      </c>
      <c r="F6" s="14" t="e">
        <f>GETPIVOTDATA("SUBCLASIFICACIÓN",#REF!,"CLASIFICACIÓN","TALENTO HUMANO ","SUBCLASIFICACIÓN","TOMA DE CONCIENCIA ")</f>
        <v>#REF!</v>
      </c>
      <c r="G6" s="155" t="s">
        <v>1543</v>
      </c>
    </row>
    <row r="7" spans="1:7" ht="195" x14ac:dyDescent="0.25">
      <c r="A7" s="214"/>
      <c r="B7" s="164" t="s">
        <v>41</v>
      </c>
      <c r="C7" s="14" t="s">
        <v>1544</v>
      </c>
      <c r="D7" s="12" t="e">
        <f>GETPIVOTDATA("SUBCLASIFICACIÓN",#REF!,"CLASIFICACIÓN","TALENTO HUMANO ","SUBCLASIFICACIÓN","CONTINUIDAD")</f>
        <v>#REF!</v>
      </c>
      <c r="E7" s="32" t="s">
        <v>1545</v>
      </c>
      <c r="F7" s="14">
        <v>0</v>
      </c>
      <c r="G7" s="160">
        <v>0</v>
      </c>
    </row>
    <row r="8" spans="1:7" ht="105" x14ac:dyDescent="0.25">
      <c r="A8" s="214"/>
      <c r="B8" s="164" t="s">
        <v>145</v>
      </c>
      <c r="C8" s="14" t="s">
        <v>1546</v>
      </c>
      <c r="D8" s="12" t="e">
        <f>GETPIVOTDATA("SUBCLASIFICACIÓN",#REF!,"CLASIFICACIÓN","TALENTO HUMANO ","SUBCLASIFICACIÓN","APOYO DE TERCEROS")</f>
        <v>#REF!</v>
      </c>
      <c r="E8" s="151" t="s">
        <v>139</v>
      </c>
      <c r="F8" s="12" t="e">
        <f>GETPIVOTDATA("SUBCLASIFICACIÓN",#REF!,"CLASIFICACIÓN","TALENTO HUMANO ","SUBCLASIFICACIÓN","APOYO DE TERCEROS")</f>
        <v>#REF!</v>
      </c>
      <c r="G8" s="155" t="s">
        <v>1547</v>
      </c>
    </row>
    <row r="9" spans="1:7" ht="210" x14ac:dyDescent="0.25">
      <c r="A9" s="215"/>
      <c r="B9" s="164" t="s">
        <v>33</v>
      </c>
      <c r="C9" s="11" t="s">
        <v>1548</v>
      </c>
      <c r="D9" s="12" t="e">
        <f>GETPIVOTDATA("SUBCLASIFICACIÓN",#REF!,"CLASIFICACIÓN","TALENTO HUMANO ","SUBCLASIFICACIÓN","SUFICIENCIA")</f>
        <v>#REF!</v>
      </c>
      <c r="E9" s="32" t="s">
        <v>1549</v>
      </c>
      <c r="F9" s="14" t="e">
        <f>GETPIVOTDATA("SUBCLASIFICACIÓN",#REF!,"CLASIFICACIÓN","TALENTO HUMANO ","SUBCLASIFICACIÓN","SUFICIENCIA")</f>
        <v>#REF!</v>
      </c>
      <c r="G9" s="155" t="s">
        <v>1550</v>
      </c>
    </row>
    <row r="10" spans="1:7" ht="125.25" customHeight="1" x14ac:dyDescent="0.25">
      <c r="A10" s="210" t="s">
        <v>1551</v>
      </c>
      <c r="B10" s="165" t="s">
        <v>40</v>
      </c>
      <c r="C10" s="14" t="s">
        <v>1552</v>
      </c>
      <c r="D10" s="12" t="e">
        <f>GETPIVOTDATA("SUBCLASIFICACIÓN",#REF!,"CLASIFICACIÓN","EQUIPO, TECNOLOGÍA E INFRAESTRUCTURA","SUBCLASIFICACIÓN","HERRAMIENTAS")</f>
        <v>#REF!</v>
      </c>
      <c r="E10" s="32" t="s">
        <v>1553</v>
      </c>
      <c r="F10" s="12" t="e">
        <f>GETPIVOTDATA("SUBCLASIFICACIÓN",#REF!,"CLASIFICACIÓN","EQUIPO, TECNOLOGÍA E INFRAESTRUCTURA","SUBCLASIFICACIÓN","HERRAMIENTAS ")</f>
        <v>#REF!</v>
      </c>
      <c r="G10" s="155" t="s">
        <v>1554</v>
      </c>
    </row>
    <row r="11" spans="1:7" ht="47.25" customHeight="1" x14ac:dyDescent="0.25">
      <c r="A11" s="211"/>
      <c r="B11" s="165" t="s">
        <v>1555</v>
      </c>
      <c r="C11" s="14" t="s">
        <v>1556</v>
      </c>
      <c r="D11" s="12" t="e">
        <f>GETPIVOTDATA("SUBCLASIFICACIÓN",#REF!,"CLASIFICACIÓN","EQUIPO, TECNOLOGÍA E INFRAESTRUCTURA","SUBCLASIFICACIÓN","UBICACIÓN Y ACCESO")</f>
        <v>#REF!</v>
      </c>
      <c r="E11" s="32" t="s">
        <v>1557</v>
      </c>
      <c r="F11" s="12" t="e">
        <f>GETPIVOTDATA("SUBCLASIFICACIÓN",#REF!,"CLASIFICACIÓN","EQUIPO, TECNOLOGÍA E INFRAESTRUCTURA","SUBCLASIFICACIÓN","UBICACIÓN Y ACCESO")</f>
        <v>#REF!</v>
      </c>
      <c r="G11" s="150" t="s">
        <v>541</v>
      </c>
    </row>
    <row r="12" spans="1:7" ht="218.25" customHeight="1" x14ac:dyDescent="0.25">
      <c r="A12" s="211"/>
      <c r="B12" s="165" t="s">
        <v>13</v>
      </c>
      <c r="C12" s="14" t="s">
        <v>1558</v>
      </c>
      <c r="D12" s="12" t="e">
        <f>GETPIVOTDATA("SUBCLASIFICACIÓN",#REF!,"CLASIFICACIÓN","EQUIPO, TECNOLOGÍA E INFRAESTRUCTURA","SUBCLASIFICACIÓN","INSTALACIONES")</f>
        <v>#REF!</v>
      </c>
      <c r="E12" s="32" t="s">
        <v>1559</v>
      </c>
      <c r="F12" s="12" t="e">
        <f>GETPIVOTDATA("SUBCLASIFICACIÓN",#REF!,"CLASIFICACIÓN","EQUIPO, TECNOLOGÍA E INFRAESTRUCTURA","SUBCLASIFICACIÓN","INSTALACIONES")</f>
        <v>#REF!</v>
      </c>
      <c r="G12" s="155" t="s">
        <v>1560</v>
      </c>
    </row>
    <row r="13" spans="1:7" ht="61.5" customHeight="1" x14ac:dyDescent="0.25">
      <c r="A13" s="211"/>
      <c r="B13" s="165" t="s">
        <v>1561</v>
      </c>
      <c r="C13" s="14" t="s">
        <v>1562</v>
      </c>
      <c r="D13" s="12" t="e">
        <f>GETPIVOTDATA("SUBCLASIFICACIÓN",#REF!,"CLASIFICACIÓN","EQUIPO, TECNOLOGÍA E INFRAESTRUCTURA","SUBCLASIFICACIÓN","REDES")</f>
        <v>#REF!</v>
      </c>
      <c r="E13" s="151" t="s">
        <v>139</v>
      </c>
      <c r="F13" s="12" t="e">
        <f>GETPIVOTDATA("SUBCLASIFICACIÓN",#REF!,"CLASIFICACIÓN","EQUIPO, TECNOLOGÍA E INFRAESTRUCTURA","SUBCLASIFICACIÓN","REDES")</f>
        <v>#REF!</v>
      </c>
      <c r="G13" s="151" t="s">
        <v>455</v>
      </c>
    </row>
    <row r="14" spans="1:7" ht="78" hidden="1" customHeight="1" x14ac:dyDescent="0.25">
      <c r="A14" s="211"/>
      <c r="B14" s="6" t="s">
        <v>1563</v>
      </c>
      <c r="C14" s="14" t="s">
        <v>1564</v>
      </c>
      <c r="D14" s="12" t="e">
        <f>+GETPIVOTDATA("SUBCLASIFICACION",'T.D. DEBLD'!$A$3,"CLASIFICACION","EQUIPO, TECNOLOGÍA E INFRAESTRUCTURA","SUBCLASIFICACION","PLATAFORMAS WEB ")</f>
        <v>#REF!</v>
      </c>
      <c r="E14" s="152"/>
      <c r="F14" s="12" t="e">
        <f>+GETPIVOTDATA("SUBCLASIFICACION",'T.D. FORTLZ'!$A$3,"CLASIFICACION","EQUIPO, TECNOLOGÍA E INFRAESTRUCTURA","SUBCLASIFICACION","PLATAFORMAS WEB")</f>
        <v>#REF!</v>
      </c>
      <c r="G14" s="155" t="s">
        <v>1565</v>
      </c>
    </row>
    <row r="15" spans="1:7" ht="74.25" customHeight="1" x14ac:dyDescent="0.25">
      <c r="A15" s="211"/>
      <c r="B15" s="165" t="s">
        <v>1566</v>
      </c>
      <c r="C15" s="14" t="s">
        <v>1567</v>
      </c>
      <c r="D15" s="12">
        <v>0</v>
      </c>
      <c r="E15" s="153">
        <v>0</v>
      </c>
      <c r="F15" s="12">
        <v>0</v>
      </c>
      <c r="G15" s="160">
        <v>0</v>
      </c>
    </row>
    <row r="16" spans="1:7" ht="225" x14ac:dyDescent="0.25">
      <c r="A16" s="211"/>
      <c r="B16" s="165" t="s">
        <v>32</v>
      </c>
      <c r="C16" s="14" t="s">
        <v>1568</v>
      </c>
      <c r="D16" s="12" t="e">
        <f>GETPIVOTDATA("SUBCLASIFICACIÓN",#REF!,"CLASIFICACIÓN","EQUIPO, TECNOLOGÍA E INFRAESTRUCTURA","SUBCLASIFICACIÓN","SOFTWARE Y PLATAFORMAS")</f>
        <v>#REF!</v>
      </c>
      <c r="E16" s="32" t="s">
        <v>1569</v>
      </c>
      <c r="F16" s="12" t="e">
        <f>GETPIVOTDATA("SUBCLASIFICACIÓN",#REF!,"CLASIFICACIÓN","EQUIPO, TECNOLOGÍA E INFRAESTRUCTURA","SUBCLASIFICACIÓN","SOFTWARE Y PLATAFORMAS")</f>
        <v>#REF!</v>
      </c>
      <c r="G16" s="155" t="s">
        <v>1570</v>
      </c>
    </row>
    <row r="17" spans="1:7" ht="57" customHeight="1" x14ac:dyDescent="0.25">
      <c r="A17" s="211"/>
      <c r="B17" s="165" t="s">
        <v>1571</v>
      </c>
      <c r="C17" s="14" t="s">
        <v>1572</v>
      </c>
      <c r="D17" s="12">
        <v>0</v>
      </c>
      <c r="E17" s="153">
        <v>0</v>
      </c>
      <c r="F17" s="12">
        <v>0</v>
      </c>
      <c r="G17" s="161">
        <v>0</v>
      </c>
    </row>
    <row r="18" spans="1:7" ht="60.75" customHeight="1" x14ac:dyDescent="0.25">
      <c r="A18" s="212"/>
      <c r="B18" s="166" t="s">
        <v>1573</v>
      </c>
      <c r="C18" s="14" t="s">
        <v>1574</v>
      </c>
      <c r="D18" s="12" t="e">
        <f>GETPIVOTDATA("SUBCLASIFICACIÓN",#REF!,"CLASIFICACIÓN","EQUIPO, TECNOLOGÍA E INFRAESTRUCTURA","SUBCLASIFICACIÓN","OBSOLESCENCIA ")</f>
        <v>#REF!</v>
      </c>
      <c r="E18" s="32" t="s">
        <v>1575</v>
      </c>
      <c r="F18" s="12" t="e">
        <f>GETPIVOTDATA("SUBCLASIFICACIÓN",#REF!,"CLASIFICACIÓN","EQUIPO, TECNOLOGÍA E INFRAESTRUCTURA","SUBCLASIFICACIÓN","OBSOLESCENCIA ")</f>
        <v>#REF!</v>
      </c>
      <c r="G18" s="151" t="s">
        <v>191</v>
      </c>
    </row>
    <row r="19" spans="1:7" ht="86.25" customHeight="1" x14ac:dyDescent="0.25">
      <c r="A19" s="169" t="s">
        <v>1576</v>
      </c>
      <c r="B19" s="170" t="s">
        <v>1577</v>
      </c>
      <c r="C19" s="14" t="s">
        <v>1578</v>
      </c>
      <c r="D19" s="12" t="e">
        <f>GETPIVOTDATA("SUBCLASIFICACIÓN",#REF!,"CLASIFICACIÓN","INSUMOS","SUBCLASIFICACIÓN","CONSUMO  ")</f>
        <v>#REF!</v>
      </c>
      <c r="E19" s="151" t="s">
        <v>102</v>
      </c>
      <c r="F19" s="12">
        <v>0</v>
      </c>
      <c r="G19" s="160">
        <v>0</v>
      </c>
    </row>
    <row r="20" spans="1:7" ht="180" x14ac:dyDescent="0.25">
      <c r="A20" s="171" t="s">
        <v>1579</v>
      </c>
      <c r="B20" s="172" t="s">
        <v>14</v>
      </c>
      <c r="C20" s="14" t="s">
        <v>1580</v>
      </c>
      <c r="D20" s="12" t="e">
        <f>(GETPIVOTDATA("SUBCLASIFICACIÓN",#REF!,"CLASIFICACIÓN","MÉTODOS","SUBCLASIFICACIÓN","COMUNICACIÓN")+GETPIVOTDATA("SUBCLASIFICACIÓN",#REF!,"CLASIFICACIÓN","MÉTODOS","SUBCLASIFICACIÓN","COMUNICACIÓN "))</f>
        <v>#REF!</v>
      </c>
      <c r="E20" s="32" t="s">
        <v>1581</v>
      </c>
      <c r="F20" s="14" t="e">
        <f>GETPIVOTDATA("SUBCLASIFICACIÓN",#REF!,"CLASIFICACIÓN","MÉTODOS","SUBCLASIFICACIÓN","COMUNICACIÓN")</f>
        <v>#REF!</v>
      </c>
      <c r="G20" s="155" t="s">
        <v>1582</v>
      </c>
    </row>
    <row r="21" spans="1:7" ht="120" x14ac:dyDescent="0.25">
      <c r="A21" s="173"/>
      <c r="B21" s="172" t="s">
        <v>1583</v>
      </c>
      <c r="C21" s="14" t="s">
        <v>1584</v>
      </c>
      <c r="D21" s="12" t="e">
        <f>GETPIVOTDATA("SUBCLASIFICACIÓN",#REF!,"CLASIFICACIÓN","MÉTODOS","SUBCLASIFICACIÓN","DOCUMENTACIÓN")</f>
        <v>#REF!</v>
      </c>
      <c r="E21" s="154" t="s">
        <v>1585</v>
      </c>
      <c r="F21" s="12" t="e">
        <f>GETPIVOTDATA("SUBCLASIFICACIÓN",#REF!,"CLASIFICACIÓN","MÉTODOS","SUBCLASIFICACIÓN","DOCUMENTACIÓN")</f>
        <v>#REF!</v>
      </c>
      <c r="G21" s="155" t="s">
        <v>1586</v>
      </c>
    </row>
    <row r="22" spans="1:7" ht="165" x14ac:dyDescent="0.25">
      <c r="A22" s="173"/>
      <c r="B22" s="172" t="s">
        <v>1587</v>
      </c>
      <c r="C22" s="14" t="s">
        <v>1588</v>
      </c>
      <c r="D22" s="12" t="e">
        <f>GETPIVOTDATA("SUBCLASIFICACIÓN",#REF!,"CLASIFICACIÓN","MÉTODOS","SUBCLASIFICACIÓN","INFORMACIÓN")</f>
        <v>#REF!</v>
      </c>
      <c r="E22" s="32" t="s">
        <v>1589</v>
      </c>
      <c r="F22" s="12" t="e">
        <f>GETPIVOTDATA("SUBCLASIFICACIÓN",#REF!,"CLASIFICACIÓN","MÉTODOS","SUBCLASIFICACIÓN","INFORMACIÓN")</f>
        <v>#REF!</v>
      </c>
      <c r="G22" s="155" t="s">
        <v>1590</v>
      </c>
    </row>
    <row r="23" spans="1:7" ht="63.75" customHeight="1" x14ac:dyDescent="0.25">
      <c r="A23" s="173"/>
      <c r="B23" s="172" t="s">
        <v>1591</v>
      </c>
      <c r="C23" s="14" t="s">
        <v>1592</v>
      </c>
      <c r="D23" s="12" t="e">
        <f>GETPIVOTDATA("SUBCLASIFICACIÓN",#REF!,"CLASIFICACIÓN","MÉTODOS","SUBCLASIFICACIÓN","GESTIÓN DEL CAMBIO")</f>
        <v>#REF!</v>
      </c>
      <c r="E23" s="32" t="s">
        <v>1593</v>
      </c>
      <c r="F23" s="12" t="e">
        <f>GETPIVOTDATA("SUBCLASIFICACIÓN",#REF!,"CLASIFICACIÓN","MÉTODOS","SUBCLASIFICACIÓN","GESTIÓN DEL CAMBIO")</f>
        <v>#REF!</v>
      </c>
      <c r="G23" s="151" t="s">
        <v>208</v>
      </c>
    </row>
    <row r="24" spans="1:7" ht="165" x14ac:dyDescent="0.25">
      <c r="A24" s="173"/>
      <c r="B24" s="172" t="s">
        <v>22</v>
      </c>
      <c r="C24" s="14" t="s">
        <v>1594</v>
      </c>
      <c r="D24" s="12" t="e">
        <f>GETPIVOTDATA("SUBCLASIFICACIÓN",#REF!,"CLASIFICACIÓN","MÉTODOS","SUBCLASIFICACIÓN","TIEMPOS")</f>
        <v>#REF!</v>
      </c>
      <c r="E24" s="32" t="s">
        <v>1595</v>
      </c>
      <c r="F24" s="12" t="e">
        <f>GETPIVOTDATA("SUBCLASIFICACIÓN",#REF!,"CLASIFICACIÓN","MÉTODOS","SUBCLASIFICACIÓN","TIEMPOS")</f>
        <v>#REF!</v>
      </c>
      <c r="G24" s="155" t="s">
        <v>1596</v>
      </c>
    </row>
    <row r="25" spans="1:7" ht="105" x14ac:dyDescent="0.25">
      <c r="A25" s="173"/>
      <c r="B25" s="172" t="s">
        <v>70</v>
      </c>
      <c r="C25" s="145" t="s">
        <v>1597</v>
      </c>
      <c r="D25" s="12" t="e">
        <f>GETPIVOTDATA("SUBCLASIFICACIÓN",#REF!,"CLASIFICACIÓN","MÉTODOS","SUBCLASIFICACIÓN","NORMATIVIDAD")</f>
        <v>#REF!</v>
      </c>
      <c r="E25" s="32" t="s">
        <v>1598</v>
      </c>
      <c r="F25" s="12" t="e">
        <f>GETPIVOTDATA("SUBCLASIFICACIÓN",#REF!,"CLASIFICACIÓN","MÉTODOS","SUBCLASIFICACIÓN","NORMATIVIDAD")</f>
        <v>#REF!</v>
      </c>
      <c r="G25" s="155" t="s">
        <v>1599</v>
      </c>
    </row>
    <row r="26" spans="1:7" ht="105" x14ac:dyDescent="0.25">
      <c r="A26" s="173"/>
      <c r="B26" s="172" t="s">
        <v>68</v>
      </c>
      <c r="C26" s="14" t="s">
        <v>1600</v>
      </c>
      <c r="D26" s="12" t="e">
        <f>GETPIVOTDATA("SUBCLASIFICACIÓN",#REF!,"CLASIFICACIÓN","MÉTODOS","SUBCLASIFICACIÓN","SISTEMATIZACIÓN ")</f>
        <v>#REF!</v>
      </c>
      <c r="E26" s="32" t="s">
        <v>1601</v>
      </c>
      <c r="F26" s="12" t="e">
        <f>GETPIVOTDATA("SUBCLASIFICACIÓN",#REF!,"CLASIFICACIÓN","MÉTODOS","SUBCLASIFICACIÓN","SISTEMATIZACIÓN ")</f>
        <v>#REF!</v>
      </c>
      <c r="G26" s="155" t="s">
        <v>1602</v>
      </c>
    </row>
    <row r="27" spans="1:7" ht="43.5" customHeight="1" x14ac:dyDescent="0.25">
      <c r="A27" s="173"/>
      <c r="B27" s="172" t="s">
        <v>1603</v>
      </c>
      <c r="C27" s="14" t="s">
        <v>1604</v>
      </c>
      <c r="D27" s="12" t="e">
        <f>GETPIVOTDATA("SUBCLASIFICACIÓN",#REF!,"CLASIFICACIÓN","MÉTODOS","SUBCLASIFICACIÓN","TRANSPARENCIA")</f>
        <v>#REF!</v>
      </c>
      <c r="E27" s="151" t="s">
        <v>481</v>
      </c>
      <c r="F27" s="12" t="e">
        <f>GETPIVOTDATA("SUBCLASIFICACIÓN",#REF!,"CLASIFICACIÓN","MÉTODOS","SUBCLASIFICACIÓN","TRANSPARENCIA")</f>
        <v>#REF!</v>
      </c>
      <c r="G27" s="162" t="s">
        <v>1605</v>
      </c>
    </row>
    <row r="28" spans="1:7" ht="60" x14ac:dyDescent="0.25">
      <c r="A28" s="173"/>
      <c r="B28" s="172" t="s">
        <v>1606</v>
      </c>
      <c r="C28" s="14" t="s">
        <v>1607</v>
      </c>
      <c r="D28" s="12" t="e">
        <f>GETPIVOTDATA("SUBCLASIFICACIÓN",#REF!,"CLASIFICACIÓN","MÉTODOS","SUBCLASIFICACIÓN","IMPLEMENTACIÓN")</f>
        <v>#REF!</v>
      </c>
      <c r="E28" s="155" t="s">
        <v>1608</v>
      </c>
      <c r="F28" s="12" t="e">
        <f>GETPIVOTDATA("SUBCLASIFICACIÓN",#REF!,"CLASIFICACIÓN","MÉTODOS","SUBCLASIFICACIÓN","IMPLEMENTACIÓN")</f>
        <v>#REF!</v>
      </c>
      <c r="G28" s="155" t="s">
        <v>1609</v>
      </c>
    </row>
    <row r="29" spans="1:7" ht="150" x14ac:dyDescent="0.25">
      <c r="A29" s="173"/>
      <c r="B29" s="172" t="s">
        <v>17</v>
      </c>
      <c r="C29" s="14" t="s">
        <v>1610</v>
      </c>
      <c r="D29" s="12" t="e">
        <f>(GETPIVOTDATA("SUBCLASIFICACIÓN",#REF!,"CLASIFICACIÓN","MEDICIÓN ","SUBCLASIFICACIÓN","SEGUIMIENTO Y CONTROL ")+GETPIVOTDATA("SUBCLASIFICACIÓN",#REF!,"CLASIFICACIÓN","MÉTODOS","SUBCLASIFICACIÓN","SEGUIMIENTO Y CONTROL "))</f>
        <v>#REF!</v>
      </c>
      <c r="E29" s="32" t="s">
        <v>1611</v>
      </c>
      <c r="F29" s="12" t="e">
        <f>GETPIVOTDATA("SUBCLASIFICACIÓN",#REF!,"CLASIFICACIÓN","MEDICIÓN ","SUBCLASIFICACIÓN","SEGUIMIENTO Y CONTROL ")</f>
        <v>#REF!</v>
      </c>
      <c r="G29" s="155" t="s">
        <v>1612</v>
      </c>
    </row>
    <row r="30" spans="1:7" ht="90" x14ac:dyDescent="0.25">
      <c r="A30" s="173"/>
      <c r="B30" s="172" t="s">
        <v>107</v>
      </c>
      <c r="C30" s="14" t="s">
        <v>1613</v>
      </c>
      <c r="D30" s="12" t="e">
        <f>GETPIVOTDATA("SUBCLASIFICACIÓN",#REF!,"CLASIFICACIÓN","MÉTODOS","SUBCLASIFICACIÓN","PROCEDIMIENTOS")</f>
        <v>#REF!</v>
      </c>
      <c r="E30" s="32" t="s">
        <v>1614</v>
      </c>
      <c r="F30" s="12" t="e">
        <f>GETPIVOTDATA("SUBCLASIFICACIÓN",#REF!,"CLASIFICACIÓN","MÉTODOS","SUBCLASIFICACIÓN","PROCEDIMIENTOS")</f>
        <v>#REF!</v>
      </c>
      <c r="G30" s="155" t="s">
        <v>1615</v>
      </c>
    </row>
    <row r="31" spans="1:7" ht="180" x14ac:dyDescent="0.25">
      <c r="A31" s="173"/>
      <c r="B31" s="174" t="s">
        <v>1616</v>
      </c>
      <c r="C31" s="14" t="s">
        <v>1617</v>
      </c>
      <c r="D31" s="12" t="e">
        <f>GETPIVOTDATA("SUBCLASIFICACIÓN",#REF!,"CLASIFICACIÓN","MÉTODOS","SUBCLASIFICACIÓN","ARTICULACIÓN DE PROCESOS")</f>
        <v>#REF!</v>
      </c>
      <c r="E31" s="32" t="s">
        <v>1618</v>
      </c>
      <c r="F31" s="12" t="e">
        <f>GETPIVOTDATA("SUBCLASIFICACIÓN",#REF!,"CLASIFICACIÓN","MÉTODOS","SUBCLASIFICACIÓN","ARTICULACIÓN DE PROCESOS")</f>
        <v>#REF!</v>
      </c>
      <c r="G31" s="155" t="s">
        <v>1619</v>
      </c>
    </row>
    <row r="32" spans="1:7" ht="120" x14ac:dyDescent="0.25">
      <c r="A32" s="167" t="s">
        <v>16</v>
      </c>
      <c r="B32" s="168" t="s">
        <v>144</v>
      </c>
      <c r="C32" s="14" t="s">
        <v>1620</v>
      </c>
      <c r="D32" s="12" t="e">
        <f>GETPIVOTDATA("SUBCLASIFICACIÓN",#REF!,"CLASIFICACIÓN","MEDICIÓN ","SUBCLASIFICACIÓN","INDICADORES")</f>
        <v>#REF!</v>
      </c>
      <c r="E32" s="32" t="s">
        <v>1621</v>
      </c>
      <c r="F32" s="12" t="e">
        <f>GETPIVOTDATA("SUBCLASIFICACIÓN",#REF!,"CLASIFICACIÓN","MEDICIÓN ","SUBCLASIFICACIÓN","INDICADORES")</f>
        <v>#REF!</v>
      </c>
      <c r="G32" s="155" t="s">
        <v>1622</v>
      </c>
    </row>
    <row r="33" spans="1:7" ht="60.75" customHeight="1" x14ac:dyDescent="0.25">
      <c r="A33" s="175"/>
      <c r="B33" s="168" t="s">
        <v>1623</v>
      </c>
      <c r="C33" s="14" t="s">
        <v>1624</v>
      </c>
      <c r="D33" s="12" t="e">
        <f>GETPIVOTDATA("SUBCLASIFICACIÓN",#REF!,"CLASIFICACIÓN","MEDICIÓN ","SUBCLASIFICACIÓN","RESULTADOS")</f>
        <v>#REF!</v>
      </c>
      <c r="E33" s="32" t="s">
        <v>1625</v>
      </c>
      <c r="F33" s="12" t="e">
        <f>GETPIVOTDATA("SUBCLASIFICACIÓN",#REF!,"CLASIFICACIÓN","MEDICIÓN ","SUBCLASIFICACIÓN","RESULTADOS")</f>
        <v>#REF!</v>
      </c>
      <c r="G33" s="155" t="s">
        <v>1626</v>
      </c>
    </row>
    <row r="34" spans="1:7" ht="80.25" customHeight="1" x14ac:dyDescent="0.25">
      <c r="A34" s="175"/>
      <c r="B34" s="168" t="s">
        <v>1627</v>
      </c>
      <c r="C34" s="14" t="s">
        <v>1628</v>
      </c>
      <c r="D34" s="12">
        <v>0</v>
      </c>
      <c r="E34" s="32"/>
      <c r="F34" s="12" t="e">
        <f>GETPIVOTDATA("SUBCLASIFICACIÓN",#REF!,"CLASIFICACIÓN","MEDICIÓN ","SUBCLASIFICACIÓN","TRAZABILIDAD")</f>
        <v>#REF!</v>
      </c>
      <c r="G34" s="155" t="s">
        <v>246</v>
      </c>
    </row>
    <row r="35" spans="1:7" ht="150" x14ac:dyDescent="0.25">
      <c r="A35" s="176" t="s">
        <v>42</v>
      </c>
      <c r="B35" s="177" t="s">
        <v>43</v>
      </c>
      <c r="C35" s="14" t="s">
        <v>1629</v>
      </c>
      <c r="D35" s="12" t="e">
        <f>GETPIVOTDATA("SUBCLASIFICACIÓN",#REF!,"CLASIFICACIÓN","MONEDA","SUBCLASIFICACIÓN","PRESUPUESTO")</f>
        <v>#REF!</v>
      </c>
      <c r="E35" s="32" t="s">
        <v>1630</v>
      </c>
      <c r="F35" s="12" t="e">
        <f>GETPIVOTDATA("SUBCLASIFICACIÓN",#REF!,"CLASIFICACIÓN","MONEDA","SUBCLASIFICACIÓN","PRESUPUESTO")</f>
        <v>#REF!</v>
      </c>
      <c r="G35" s="155" t="s">
        <v>1631</v>
      </c>
    </row>
    <row r="36" spans="1:7" ht="75" x14ac:dyDescent="0.25">
      <c r="A36" s="178"/>
      <c r="B36" s="177" t="s">
        <v>1632</v>
      </c>
      <c r="C36" s="14" t="s">
        <v>1633</v>
      </c>
      <c r="D36" s="12" t="e">
        <f>GETPIVOTDATA("SUBCLASIFICACIÓN",#REF!,"CLASIFICACIÓN","MONEDA","SUBCLASIFICACIÓN","LIQUIDEZ")</f>
        <v>#REF!</v>
      </c>
      <c r="E36" s="32" t="s">
        <v>1634</v>
      </c>
      <c r="F36" s="12" t="e">
        <f>GETPIVOTDATA("SUBCLASIFICACIÓN",#REF!,"CLASIFICACIÓN","MONEDA","SUBCLASIFICACIÓN","LIQUIDEZ")</f>
        <v>#REF!</v>
      </c>
      <c r="G36" s="155" t="s">
        <v>1635</v>
      </c>
    </row>
    <row r="37" spans="1:7" ht="150" x14ac:dyDescent="0.25">
      <c r="A37" s="9" t="s">
        <v>207</v>
      </c>
      <c r="B37" s="21" t="s">
        <v>293</v>
      </c>
      <c r="C37" s="14" t="s">
        <v>1636</v>
      </c>
      <c r="D37" s="12" t="e">
        <f>GETPIVOTDATA("SUBCLASIFICACIÓN",#REF!,"CLASIFICACIÓN","MEDIO AMBIENTE","SUBCLASIFICACIÓN","BIENESTAR LABORAL ")</f>
        <v>#REF!</v>
      </c>
      <c r="E37" s="151" t="s">
        <v>191</v>
      </c>
      <c r="F37" s="12" t="e">
        <f>(GETPIVOTDATA("SUBCLASIFICACIÓN",#REF!,"CLASIFICACIÓN","MEDIO AMBIENTE","SUBCLASIFICACIÓN","BIENESTAR LABORAL")+GETPIVOTDATA("SUBCLASIFICACIÓN",#REF!,"CLASIFICACIÓN","TALENTO HUMANO ","SUBCLASIFICACIÓN","BIENESTAR LABORAL")+GETPIVOTDATA("SUBCLASIFICACIÓN",#REF!,"CLASIFICACIÓN","MEDIO (CONDICIONES DE TRABAJO)","SUBCLASIFICACIÓN","BIENESTAR LABORAL"))</f>
        <v>#REF!</v>
      </c>
      <c r="G37" s="163" t="s">
        <v>1637</v>
      </c>
    </row>
    <row r="38" spans="1:7" ht="105" x14ac:dyDescent="0.25">
      <c r="A38" s="179" t="s">
        <v>1638</v>
      </c>
      <c r="B38" s="180" t="s">
        <v>1639</v>
      </c>
      <c r="C38" s="14" t="s">
        <v>1640</v>
      </c>
      <c r="D38" s="14" t="e">
        <f>GETPIVOTDATA("SUBCLASIFICACIÓN",#REF!,"CLASIFICACIÓN","MANAGEMENT","SUBCLASIFICACIÓN","DIRECCIONAMIENTO ESTRATÉGICO")</f>
        <v>#REF!</v>
      </c>
      <c r="E38" s="32" t="s">
        <v>1641</v>
      </c>
      <c r="F38" s="12" t="e">
        <f>GETPIVOTDATA("SUBCLASIFICACIÓN",#REF!,"CLASIFICACIÓN","MANAGEMENT","SUBCLASIFICACIÓN","DIRECCIONAMIENTO ESTRATÉGICO")</f>
        <v>#REF!</v>
      </c>
      <c r="G38" s="155" t="s">
        <v>1642</v>
      </c>
    </row>
    <row r="39" spans="1:7" ht="180" x14ac:dyDescent="0.25">
      <c r="A39" s="181"/>
      <c r="B39" s="180" t="s">
        <v>58</v>
      </c>
      <c r="C39" s="14" t="s">
        <v>1643</v>
      </c>
      <c r="D39" s="12" t="e">
        <f>GETPIVOTDATA("SUBCLASIFICACIÓN",#REF!,"CLASIFICACIÓN","MANAGEMENT","SUBCLASIFICACIÓN","PLANIFICACIÓN ")</f>
        <v>#REF!</v>
      </c>
      <c r="E39" s="32" t="s">
        <v>1644</v>
      </c>
      <c r="F39" s="12" t="e">
        <f>GETPIVOTDATA("SUBCLASIFICACIÓN",#REF!,"CLASIFICACIÓN","MANAGEMENT","SUBCLASIFICACIÓN","PLANIFICACIÓN ")</f>
        <v>#REF!</v>
      </c>
      <c r="G39" s="155" t="s">
        <v>1645</v>
      </c>
    </row>
    <row r="40" spans="1:7" ht="60" x14ac:dyDescent="0.25">
      <c r="A40" s="181"/>
      <c r="B40" s="182" t="s">
        <v>45</v>
      </c>
      <c r="C40" s="14" t="s">
        <v>1646</v>
      </c>
      <c r="D40" s="12" t="e">
        <f>GETPIVOTDATA("SUBCLASIFICACIÓN",#REF!,"CLASIFICACIÓN","MANAGEMENT","SUBCLASIFICACIÓN","LIDERAZGO")</f>
        <v>#REF!</v>
      </c>
      <c r="E40" s="32" t="s">
        <v>34</v>
      </c>
      <c r="F40" s="12" t="e">
        <f>GETPIVOTDATA("SUBCLASIFICACIÓN",#REF!,"CLASIFICACIÓN","MANAGEMENT","SUBCLASIFICACIÓN","LIDERAZGO")</f>
        <v>#REF!</v>
      </c>
      <c r="G40" s="155" t="s">
        <v>1647</v>
      </c>
    </row>
    <row r="41" spans="1:7" ht="102" customHeight="1" x14ac:dyDescent="0.25">
      <c r="A41" s="181"/>
      <c r="B41" s="182" t="s">
        <v>174</v>
      </c>
      <c r="C41" s="14" t="s">
        <v>1648</v>
      </c>
      <c r="D41" s="12">
        <v>0</v>
      </c>
      <c r="E41" s="156">
        <v>0</v>
      </c>
      <c r="F41" s="12">
        <v>0</v>
      </c>
      <c r="G41" s="161">
        <v>0</v>
      </c>
    </row>
    <row r="42" spans="1:7" ht="90" x14ac:dyDescent="0.25">
      <c r="A42" s="181"/>
      <c r="B42" s="180" t="s">
        <v>1649</v>
      </c>
      <c r="C42" s="14" t="s">
        <v>1650</v>
      </c>
      <c r="D42" s="12" t="e">
        <f>GETPIVOTDATA("SUBCLASIFICACIÓN",#REF!,"CLASIFICACIÓN","MANAGEMENT","SUBCLASIFICACIÓN","RELACIONAMIENTO")</f>
        <v>#REF!</v>
      </c>
      <c r="E42" s="155" t="s">
        <v>1651</v>
      </c>
      <c r="F42" s="12" t="e">
        <f>GETPIVOTDATA("SUBCLASIFICACIÓN",#REF!,"CLASIFICACIÓN","MANAGEMENT","SUBCLASIFICACIÓN","RELACIONAMIENTO")</f>
        <v>#REF!</v>
      </c>
      <c r="G42" s="155" t="s">
        <v>1652</v>
      </c>
    </row>
    <row r="43" spans="1:7" ht="75" x14ac:dyDescent="0.25">
      <c r="A43" s="181"/>
      <c r="B43" s="180" t="s">
        <v>1653</v>
      </c>
      <c r="C43" s="14" t="s">
        <v>1654</v>
      </c>
      <c r="D43" s="12" t="e">
        <f>GETPIVOTDATA("SUBCLASIFICACIÓN",#REF!,"CLASIFICACIÓN","MANAGEMENT","SUBCLASIFICACIÓN","POSICIONAMIENTO")</f>
        <v>#REF!</v>
      </c>
      <c r="E43" s="157" t="s">
        <v>170</v>
      </c>
      <c r="F43" s="12" t="e">
        <f>GETPIVOTDATA("SUBCLASIFICACIÓN",#REF!,"CLASIFICACIÓN","MANAGEMENT","SUBCLASIFICACIÓN","POSICIONAMIENTO")</f>
        <v>#REF!</v>
      </c>
      <c r="G43" s="155" t="s">
        <v>1655</v>
      </c>
    </row>
    <row r="44" spans="1:7" ht="54.75" customHeight="1" x14ac:dyDescent="0.25">
      <c r="A44" s="181"/>
      <c r="B44" s="180" t="s">
        <v>1656</v>
      </c>
      <c r="C44" s="14" t="s">
        <v>1657</v>
      </c>
      <c r="D44" s="12">
        <v>0</v>
      </c>
      <c r="E44" s="156">
        <v>0</v>
      </c>
      <c r="F44" s="12">
        <v>0</v>
      </c>
      <c r="G44" s="160">
        <v>0</v>
      </c>
    </row>
    <row r="45" spans="1:7" s="187" customFormat="1" ht="32.25" customHeight="1" x14ac:dyDescent="0.25">
      <c r="A45" s="208" t="s">
        <v>1658</v>
      </c>
      <c r="B45" s="209"/>
      <c r="C45" s="183" t="s">
        <v>1525</v>
      </c>
      <c r="D45" s="184" t="s">
        <v>1659</v>
      </c>
      <c r="E45" s="185" t="s">
        <v>1527</v>
      </c>
      <c r="F45" s="184" t="s">
        <v>1660</v>
      </c>
      <c r="G45" s="186" t="s">
        <v>1527</v>
      </c>
    </row>
    <row r="46" spans="1:7" ht="90" x14ac:dyDescent="0.25">
      <c r="A46" s="25" t="s">
        <v>1661</v>
      </c>
      <c r="B46" s="10" t="s">
        <v>1662</v>
      </c>
      <c r="C46" s="14" t="s">
        <v>1663</v>
      </c>
      <c r="D46" s="12" t="e">
        <f>GETPIVOTDATA("SUBCLASIFICACIÓN",#REF!,"CLASIFICACIÓN","POLÍTICO","SUBCLASIFICACIÓN","POLÍTICAS")</f>
        <v>#REF!</v>
      </c>
      <c r="E46" s="154" t="s">
        <v>1664</v>
      </c>
      <c r="F46" s="12" t="e">
        <f>GETPIVOTDATA("SUBCLASIFICACIÓN",#REF!,"CLASIFICACIÓN","POLÍTICO","SUBCLASIFICACIÓN","POLÍTICAS")</f>
        <v>#REF!</v>
      </c>
      <c r="G46" s="155" t="s">
        <v>1665</v>
      </c>
    </row>
    <row r="47" spans="1:7" ht="30" x14ac:dyDescent="0.25">
      <c r="A47" s="25"/>
      <c r="B47" s="6" t="s">
        <v>1666</v>
      </c>
      <c r="C47" s="14" t="s">
        <v>1667</v>
      </c>
      <c r="D47" s="12" t="e">
        <f>GETPIVOTDATA("SUBCLASIFICACIÓN",#REF!,"CLASIFICACIÓN","POLÍTICO","SUBCLASIFICACIÓN","INFLUENCIA ")</f>
        <v>#REF!</v>
      </c>
      <c r="E47" s="32" t="s">
        <v>237</v>
      </c>
      <c r="F47" s="12" t="e">
        <f>GETPIVOTDATA("SUBCLASIFICACIÓN",#REF!,"CLASIFICACIÓN","POLÍTICO","SUBCLASIFICACIÓN","INFLUENCIA ")</f>
        <v>#REF!</v>
      </c>
      <c r="G47" s="155" t="s">
        <v>1668</v>
      </c>
    </row>
    <row r="48" spans="1:7" ht="75" x14ac:dyDescent="0.25">
      <c r="A48" s="16"/>
      <c r="B48" s="6" t="s">
        <v>487</v>
      </c>
      <c r="C48" s="14" t="s">
        <v>1669</v>
      </c>
      <c r="D48" s="12" t="e">
        <f>GETPIVOTDATA("SUBCLASIFICACIÓN",#REF!,"CLASIFICACIÓN","POLÍTICO","SUBCLASIFICACIÓN","TRANSPARENCIA")</f>
        <v>#REF!</v>
      </c>
      <c r="E48" s="158" t="s">
        <v>1670</v>
      </c>
      <c r="F48" s="12">
        <v>0</v>
      </c>
      <c r="G48" s="160">
        <v>0</v>
      </c>
    </row>
    <row r="49" spans="1:7" ht="105" x14ac:dyDescent="0.25">
      <c r="A49" s="16"/>
      <c r="B49" s="6" t="s">
        <v>1649</v>
      </c>
      <c r="C49" s="14" t="s">
        <v>1671</v>
      </c>
      <c r="D49" s="12" t="e">
        <f>GETPIVOTDATA("SUBCLASIFICACIÓN",#REF!,"CLASIFICACIÓN","POLÍTICO","SUBCLASIFICACIÓN","RELACIONAMIENTO")</f>
        <v>#REF!</v>
      </c>
      <c r="E49" s="152" t="s">
        <v>170</v>
      </c>
      <c r="F49" s="12" t="e">
        <f>GETPIVOTDATA("SUBCLASIFICACIÓN",#REF!,"CLASIFICACIÓN","POLÍTICO","SUBCLASIFICACIÓN","RELACIONAMIENTO")</f>
        <v>#REF!</v>
      </c>
      <c r="G49" s="155" t="s">
        <v>1672</v>
      </c>
    </row>
    <row r="50" spans="1:7" ht="45" x14ac:dyDescent="0.25">
      <c r="A50" s="19" t="s">
        <v>1049</v>
      </c>
      <c r="B50" s="10" t="s">
        <v>1042</v>
      </c>
      <c r="C50" s="14" t="s">
        <v>1673</v>
      </c>
      <c r="D50" s="12" t="e">
        <f>GETPIVOTDATA("SUBCLASIFICACIÓN",#REF!,"CLASIFICACIÓN","ECONÓMICO ","SUBCLASIFICACIÓN","INVERSIÓN ")</f>
        <v>#REF!</v>
      </c>
      <c r="E50" s="32" t="s">
        <v>409</v>
      </c>
      <c r="F50" s="12" t="e">
        <f>GETPIVOTDATA("SUBCLASIFICACIÓN",#REF!,"CLASIFICACIÓN","ECONÓMICO ","SUBCLASIFICACIÓN","INVERSIÓN ")</f>
        <v>#REF!</v>
      </c>
      <c r="G50" s="151" t="s">
        <v>409</v>
      </c>
    </row>
    <row r="51" spans="1:7" ht="75" x14ac:dyDescent="0.25">
      <c r="A51" s="20"/>
      <c r="B51" s="10" t="s">
        <v>1191</v>
      </c>
      <c r="C51" s="14" t="s">
        <v>1674</v>
      </c>
      <c r="D51" s="12" t="e">
        <f>GETPIVOTDATA("SUBCLASIFICACIÓN",#REF!,"CLASIFICACIÓN","ECONÓMICO ","SUBCLASIFICACIÓN","CARTERA")</f>
        <v>#REF!</v>
      </c>
      <c r="E51" s="152" t="s">
        <v>279</v>
      </c>
      <c r="F51" s="12">
        <v>0</v>
      </c>
      <c r="G51" s="160">
        <v>0</v>
      </c>
    </row>
    <row r="52" spans="1:7" ht="75" x14ac:dyDescent="0.25">
      <c r="A52" s="20"/>
      <c r="B52" s="10" t="s">
        <v>43</v>
      </c>
      <c r="C52" s="14" t="s">
        <v>1675</v>
      </c>
      <c r="D52" s="12" t="e">
        <f>GETPIVOTDATA("SUBCLASIFICACIÓN",#REF!,"CLASIFICACIÓN","ECONÓMICO ","SUBCLASIFICACIÓN","PRESUPUESTO")</f>
        <v>#REF!</v>
      </c>
      <c r="E52" s="32" t="s">
        <v>1676</v>
      </c>
      <c r="F52" s="12" t="e">
        <f>GETPIVOTDATA("SUBCLASIFICACIÓN",#REF!,"CLASIFICACIÓN","ECONÓMICO ","SUBCLASIFICACIÓN","PRESUPUESTO")</f>
        <v>#REF!</v>
      </c>
      <c r="G52" s="151" t="s">
        <v>246</v>
      </c>
    </row>
    <row r="53" spans="1:7" ht="165" x14ac:dyDescent="0.25">
      <c r="A53" s="19" t="s">
        <v>1038</v>
      </c>
      <c r="B53" s="10" t="s">
        <v>1046</v>
      </c>
      <c r="C53" s="14" t="s">
        <v>1677</v>
      </c>
      <c r="D53" s="12" t="e">
        <f>GETPIVOTDATA("SUBCLASIFICACIÓN",#REF!,"CLASIFICACIÓN","SOCIAL","SUBCLASIFICACIÓN","NECESIDADES")</f>
        <v>#REF!</v>
      </c>
      <c r="E53" s="32" t="s">
        <v>1678</v>
      </c>
      <c r="F53" s="12" t="e">
        <f>GETPIVOTDATA("SUBCLASIFICACIÓN",#REF!,"CLASIFICACIÓN","SOCIAL","SUBCLASIFICACIÓN","NECESIDADES ")</f>
        <v>#REF!</v>
      </c>
      <c r="G53" s="155" t="s">
        <v>1679</v>
      </c>
    </row>
    <row r="54" spans="1:7" ht="135" x14ac:dyDescent="0.25">
      <c r="A54" s="20"/>
      <c r="B54" s="10" t="s">
        <v>1680</v>
      </c>
      <c r="C54" s="14" t="s">
        <v>1681</v>
      </c>
      <c r="D54" s="12" t="e">
        <f>GETPIVOTDATA("SUBCLASIFICACIÓN",#REF!,"CLASIFICACIÓN","SOCIAL","SUBCLASIFICACIÓN","SEGURIDAD")</f>
        <v>#REF!</v>
      </c>
      <c r="E54" s="32" t="s">
        <v>1682</v>
      </c>
      <c r="F54" s="12">
        <v>0</v>
      </c>
      <c r="G54" s="160">
        <v>0</v>
      </c>
    </row>
    <row r="55" spans="1:7" ht="45" x14ac:dyDescent="0.25">
      <c r="A55" s="20"/>
      <c r="B55" s="10" t="s">
        <v>1683</v>
      </c>
      <c r="C55" s="14" t="s">
        <v>1684</v>
      </c>
      <c r="D55" s="12" t="e">
        <f>GETPIVOTDATA("SUBCLASIFICACIÓN",#REF!,"CLASIFICACIÓN","SOCIAL","SUBCLASIFICACIÓN","MEDIOS DE COMUNICACIÓN")</f>
        <v>#REF!</v>
      </c>
      <c r="E55" s="32" t="s">
        <v>1685</v>
      </c>
      <c r="F55" s="12" t="e">
        <f>GETPIVOTDATA("SUBCLASIFICACIÓN",#REF!,"CLASIFICACIÓN","SOCIAL","SUBCLASIFICACIÓN","MEDIOS DE COMUNICACIÓN")</f>
        <v>#REF!</v>
      </c>
      <c r="G55" s="155" t="s">
        <v>1686</v>
      </c>
    </row>
    <row r="56" spans="1:7" ht="135" x14ac:dyDescent="0.25">
      <c r="A56" s="20"/>
      <c r="B56" s="6" t="s">
        <v>1687</v>
      </c>
      <c r="C56" s="14" t="s">
        <v>1688</v>
      </c>
      <c r="D56" s="12" t="e">
        <f>GETPIVOTDATA("SUBCLASIFICACIÓN",#REF!,"CLASIFICACIÓN","SOCIAL","SUBCLASIFICACIÓN","CULTURA")</f>
        <v>#REF!</v>
      </c>
      <c r="E56" s="32" t="s">
        <v>1689</v>
      </c>
      <c r="F56" s="12" t="e">
        <f>GETPIVOTDATA("SUBCLASIFICACIÓN",#REF!,"CLASIFICACIÓN","SOCIAL","SUBCLASIFICACIÓN","CULTURA")</f>
        <v>#REF!</v>
      </c>
      <c r="G56" s="155" t="s">
        <v>1690</v>
      </c>
    </row>
    <row r="57" spans="1:7" ht="135" x14ac:dyDescent="0.25">
      <c r="A57" s="19" t="s">
        <v>1061</v>
      </c>
      <c r="B57" s="10" t="s">
        <v>1081</v>
      </c>
      <c r="C57" s="14" t="s">
        <v>1691</v>
      </c>
      <c r="D57" s="12" t="e">
        <f>GETPIVOTDATA("SUBCLASIFICACIÓN",#REF!,"CLASIFICACIÓN","TECNOLÓGICO","SUBCLASIFICACIÓN","SEGURIDAD DE LA INFORMACIÓN")</f>
        <v>#REF!</v>
      </c>
      <c r="E57" s="32" t="s">
        <v>1692</v>
      </c>
      <c r="F57" s="12">
        <v>0</v>
      </c>
      <c r="G57" s="160">
        <v>0</v>
      </c>
    </row>
    <row r="58" spans="1:7" ht="135" x14ac:dyDescent="0.25">
      <c r="A58" s="20"/>
      <c r="B58" s="10" t="s">
        <v>1062</v>
      </c>
      <c r="C58" s="14" t="s">
        <v>1693</v>
      </c>
      <c r="D58" s="12" t="e">
        <f>GETPIVOTDATA("SUBCLASIFICACIÓN",#REF!,"CLASIFICACIÓN","TECNOLÓGICO","SUBCLASIFICACIÓN","ACCESIBILIDAD")</f>
        <v>#REF!</v>
      </c>
      <c r="E58" s="32" t="s">
        <v>1694</v>
      </c>
      <c r="F58" s="12" t="e">
        <f>GETPIVOTDATA("SUBCLASIFICACIÓN",#REF!,"CLASIFICACIÓN","TECNOLÓGICO","SUBCLASIFICACIÓN","ACCESIBILIDAD")</f>
        <v>#REF!</v>
      </c>
      <c r="G58" s="155" t="s">
        <v>1695</v>
      </c>
    </row>
    <row r="59" spans="1:7" ht="135" x14ac:dyDescent="0.25">
      <c r="A59" s="20"/>
      <c r="B59" s="6" t="s">
        <v>1123</v>
      </c>
      <c r="C59" s="14" t="s">
        <v>1696</v>
      </c>
      <c r="D59" s="12">
        <v>0</v>
      </c>
      <c r="E59" s="156">
        <v>0</v>
      </c>
      <c r="F59" s="12" t="e">
        <f>(GETPIVOTDATA("SUBCLASIFICACIÓN",#REF!,"CLASIFICACIÓN","TECNOLÓGICO","SUBCLASIFICACIÓN","AVANCES")+GETPIVOTDATA("SUBCLASIFICACIÓN",#REF!,"CLASIFICACIÓN","TECNOLÓGICO","SUBCLASIFICACIÓN","AVANCES "))</f>
        <v>#REF!</v>
      </c>
      <c r="G59" s="155" t="s">
        <v>1697</v>
      </c>
    </row>
    <row r="60" spans="1:7" ht="165" x14ac:dyDescent="0.25">
      <c r="A60" s="19" t="s">
        <v>1034</v>
      </c>
      <c r="B60" s="10" t="s">
        <v>1035</v>
      </c>
      <c r="C60" s="14" t="s">
        <v>1698</v>
      </c>
      <c r="D60" s="12" t="e">
        <f>GETPIVOTDATA("SUBCLASIFICACIÓN",#REF!,"CLASIFICACIÓN","AMBIENTAL","SUBCLASIFICACIÓN","CLIMA ")</f>
        <v>#REF!</v>
      </c>
      <c r="E60" s="32" t="s">
        <v>1699</v>
      </c>
      <c r="F60" s="12">
        <v>0</v>
      </c>
      <c r="G60" s="160">
        <v>0</v>
      </c>
    </row>
    <row r="61" spans="1:7" ht="90" x14ac:dyDescent="0.25">
      <c r="A61" s="20"/>
      <c r="B61" s="5" t="s">
        <v>1700</v>
      </c>
      <c r="C61" s="14" t="s">
        <v>1701</v>
      </c>
      <c r="D61" s="12" t="e">
        <f>GETPIVOTDATA("SUBCLASIFICACIÓN",#REF!,"CLASIFICACIÓN","AMBIENTAL","SUBCLASIFICACIÓN","PATÓGENOS EXTERNOS ")</f>
        <v>#REF!</v>
      </c>
      <c r="E61" s="32" t="s">
        <v>1702</v>
      </c>
      <c r="F61" s="12">
        <v>0</v>
      </c>
      <c r="G61" s="160">
        <v>0</v>
      </c>
    </row>
    <row r="62" spans="1:7" ht="45" x14ac:dyDescent="0.25">
      <c r="A62" s="19" t="s">
        <v>1245</v>
      </c>
      <c r="B62" s="10" t="s">
        <v>1703</v>
      </c>
      <c r="C62" s="14" t="s">
        <v>1704</v>
      </c>
      <c r="D62" s="12" t="e">
        <f>GETPIVOTDATA("SUBCLASIFICACIÓN",#REF!,"CLASIFICACIÓN","LEGAL ","SUBCLASIFICACIÓN","CONFIABILIDAD")</f>
        <v>#REF!</v>
      </c>
      <c r="E62" s="32" t="s">
        <v>237</v>
      </c>
      <c r="F62" s="12">
        <v>0</v>
      </c>
      <c r="G62" s="160">
        <v>0</v>
      </c>
    </row>
    <row r="63" spans="1:7" ht="90" x14ac:dyDescent="0.25">
      <c r="A63" s="20"/>
      <c r="B63" s="10" t="s">
        <v>1050</v>
      </c>
      <c r="C63" s="14" t="s">
        <v>1705</v>
      </c>
      <c r="D63" s="12" t="e">
        <f>GETPIVOTDATA("SUBCLASIFICACIÓN",#REF!,"CLASIFICACIÓN","LEGAL ","SUBCLASIFICACIÓN","LINEAMIENTOS ")</f>
        <v>#REF!</v>
      </c>
      <c r="E63" s="32" t="s">
        <v>1706</v>
      </c>
      <c r="F63" s="12" t="e">
        <f>(GETPIVOTDATA("SUBCLASIFICACIÓN",#REF!,"CLASIFICACIÓN","LEGAL ","SUBCLASIFICACIÓN","LINEAMIENTOS")+GETPIVOTDATA("SUBCLASIFICACIÓN",#REF!,"CLASIFICACIÓN","LEGAL ","SUBCLASIFICACIÓN","LINEAMIENTOS "))</f>
        <v>#REF!</v>
      </c>
      <c r="G63" s="155" t="s">
        <v>1707</v>
      </c>
    </row>
    <row r="64" spans="1:7" ht="45" x14ac:dyDescent="0.25">
      <c r="A64" s="20"/>
      <c r="B64" s="10" t="s">
        <v>1708</v>
      </c>
      <c r="C64" s="14" t="s">
        <v>1709</v>
      </c>
      <c r="D64" s="12" t="e">
        <f>GETPIVOTDATA("SUBCLASIFICACIÓN",#REF!,"CLASIFICACIÓN","LEGAL ","SUBCLASIFICACIÓN","ENTES DE CONTROL")</f>
        <v>#REF!</v>
      </c>
      <c r="E64" s="32" t="s">
        <v>1625</v>
      </c>
      <c r="F64" s="12" t="e">
        <f>GETPIVOTDATA("SUBCLASIFICACIÓN",#REF!,"CLASIFICACIÓN","LEGAL ","SUBCLASIFICACIÓN","ENTES DE CONTROL")</f>
        <v>#REF!</v>
      </c>
      <c r="G64" s="155" t="s">
        <v>1710</v>
      </c>
    </row>
    <row r="65" spans="1:7" ht="150" x14ac:dyDescent="0.25">
      <c r="A65" s="20"/>
      <c r="B65" s="10" t="s">
        <v>1711</v>
      </c>
      <c r="C65" s="14" t="s">
        <v>1712</v>
      </c>
      <c r="D65" s="12" t="e">
        <f>GETPIVOTDATA("SUBCLASIFICACIÓN",#REF!,"CLASIFICACIÓN","LEGAL ","SUBCLASIFICACIÓN","CONTINUIDAD DE PROCESOS")</f>
        <v>#REF!</v>
      </c>
      <c r="E65" s="32" t="s">
        <v>1713</v>
      </c>
      <c r="F65" s="12" t="e">
        <f>GETPIVOTDATA("SUBCLASIFICACIÓN",#REF!,"CLASIFICACIÓN","LEGAL ","SUBCLASIFICACIÓN","CONTINUIDAD DE PROCESOS")</f>
        <v>#REF!</v>
      </c>
      <c r="G65" s="157" t="s">
        <v>57</v>
      </c>
    </row>
    <row r="66" spans="1:7" ht="240" x14ac:dyDescent="0.25">
      <c r="A66" s="20"/>
      <c r="B66" s="10" t="s">
        <v>1714</v>
      </c>
      <c r="C66" s="14" t="s">
        <v>1715</v>
      </c>
      <c r="D66" s="12" t="e">
        <f>GETPIVOTDATA("SUBCLASIFICACIÓN",#REF!,"CLASIFICACIÓN","LEGAL ","SUBCLASIFICACIÓN","NORMATIVIDAD")</f>
        <v>#REF!</v>
      </c>
      <c r="E66" s="32" t="s">
        <v>1716</v>
      </c>
      <c r="F66" s="12" t="e">
        <f>GETPIVOTDATA("SUBCLASIFICACIÓN",#REF!,"CLASIFICACIÓN","LEGAL ","SUBCLASIFICACIÓN","NORMATIVIDAD")</f>
        <v>#REF!</v>
      </c>
      <c r="G66" s="155" t="s">
        <v>1717</v>
      </c>
    </row>
    <row r="67" spans="1:7" ht="165" x14ac:dyDescent="0.25">
      <c r="A67" s="9" t="s">
        <v>1022</v>
      </c>
      <c r="B67" s="10" t="s">
        <v>1072</v>
      </c>
      <c r="C67" s="14" t="s">
        <v>1718</v>
      </c>
      <c r="D67" s="12" t="e">
        <f>GETPIVOTDATA("SUBCLASIFICACIÓN",#REF!,"CLASIFICACIÓN","MERCADO","SUBCLASIFICACIÓN","OFERTA")</f>
        <v>#REF!</v>
      </c>
      <c r="E67" s="32" t="s">
        <v>380</v>
      </c>
      <c r="F67" s="12" t="e">
        <f>(GETPIVOTDATA("SUBCLASIFICACIÓN",#REF!,"CLASIFICACIÓN","MERCADO","SUBCLASIFICACIÓN","OFERTA")+GETPIVOTDATA("SUBCLASIFICACIÓN",#REF!,"CLASIFICACIÓN","MERCADO","SUBCLASIFICACIÓN","OFERTA "))</f>
        <v>#REF!</v>
      </c>
      <c r="G67" s="155" t="s">
        <v>1719</v>
      </c>
    </row>
    <row r="68" spans="1:7" ht="45" x14ac:dyDescent="0.25">
      <c r="A68" s="26"/>
      <c r="B68" s="10" t="s">
        <v>1120</v>
      </c>
      <c r="C68" s="14" t="s">
        <v>1720</v>
      </c>
      <c r="D68" s="12" t="e">
        <f>GETPIVOTDATA("SUBCLASIFICACIÓN",#REF!,"CLASIFICACIÓN","MERCADO","SUBCLASIFICACIÓN","DEMANDA")</f>
        <v>#REF!</v>
      </c>
      <c r="E68" s="155" t="s">
        <v>1721</v>
      </c>
      <c r="F68" s="12" t="e">
        <f>GETPIVOTDATA("SUBCLASIFICACIÓN",#REF!,"CLASIFICACIÓN","MERCADO","SUBCLASIFICACIÓN","DEMANDA")</f>
        <v>#REF!</v>
      </c>
      <c r="G68" s="155" t="s">
        <v>1722</v>
      </c>
    </row>
    <row r="69" spans="1:7" ht="150" x14ac:dyDescent="0.25">
      <c r="A69" s="26"/>
      <c r="B69" s="10" t="s">
        <v>1023</v>
      </c>
      <c r="C69" s="14" t="s">
        <v>1723</v>
      </c>
      <c r="D69" s="12" t="e">
        <f>GETPIVOTDATA("SUBCLASIFICACIÓN",#REF!,"CLASIFICACIÓN","MERCADO","SUBCLASIFICACIÓN","RECONOCIMIENTO")</f>
        <v>#REF!</v>
      </c>
      <c r="E69" s="32" t="s">
        <v>1724</v>
      </c>
      <c r="F69" s="12" t="e">
        <f>GETPIVOTDATA("SUBCLASIFICACIÓN",#REF!,"CLASIFICACIÓN","MERCADO","SUBCLASIFICACIÓN","RECONOCIMIENTO")</f>
        <v>#REF!</v>
      </c>
      <c r="G69" s="155" t="s">
        <v>1725</v>
      </c>
    </row>
    <row r="70" spans="1:7" ht="60" x14ac:dyDescent="0.25">
      <c r="A70" s="27"/>
      <c r="B70" s="6" t="s">
        <v>10</v>
      </c>
      <c r="C70" s="14" t="s">
        <v>1726</v>
      </c>
      <c r="D70" s="12" t="e">
        <f>GETPIVOTDATA("SUBCLASIFICACIÓN",#REF!,"CLASIFICACIÓN","MERCADO","SUBCLASIFICACIÓN","COMPETENCIA")</f>
        <v>#REF!</v>
      </c>
      <c r="E70" s="32" t="s">
        <v>1727</v>
      </c>
      <c r="F70" s="12" t="e">
        <f>GETPIVOTDATA("SUBCLASIFICACIÓN",#REF!,"CLASIFICACIÓN","MERCADO","SUBCLASIFICACIÓN","COMPETENCIA ")</f>
        <v>#REF!</v>
      </c>
      <c r="G70" s="155" t="s">
        <v>1728</v>
      </c>
    </row>
    <row r="71" spans="1:7" ht="15" customHeight="1" x14ac:dyDescent="0.25"/>
    <row r="72" spans="1:7" ht="15" customHeight="1" x14ac:dyDescent="0.25"/>
    <row r="73" spans="1:7" ht="15" customHeight="1" x14ac:dyDescent="0.25"/>
    <row r="74" spans="1:7" ht="15" customHeight="1" x14ac:dyDescent="0.25"/>
  </sheetData>
  <mergeCells count="4">
    <mergeCell ref="A1:B1"/>
    <mergeCell ref="A45:B45"/>
    <mergeCell ref="A10:A18"/>
    <mergeCell ref="A2:A9"/>
  </mergeCells>
  <pageMargins left="0.7" right="0.7" top="0.75" bottom="0.75" header="0.3" footer="0.3"/>
  <pageSetup paperSize="9" orientation="portrait" horizontalDpi="200"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136"/>
  <sheetViews>
    <sheetView workbookViewId="0">
      <selection activeCell="H35" sqref="H35"/>
    </sheetView>
  </sheetViews>
  <sheetFormatPr baseColWidth="10" defaultColWidth="11.42578125" defaultRowHeight="15" x14ac:dyDescent="0.25"/>
  <cols>
    <col min="6" max="6" width="16.5703125" customWidth="1"/>
    <col min="7" max="7" width="20.140625" customWidth="1"/>
  </cols>
  <sheetData>
    <row r="1" spans="1:7" x14ac:dyDescent="0.25">
      <c r="A1" t="s">
        <v>0</v>
      </c>
      <c r="B1" t="s">
        <v>1</v>
      </c>
      <c r="C1" t="s">
        <v>2</v>
      </c>
      <c r="D1" t="s">
        <v>3</v>
      </c>
      <c r="E1" t="s">
        <v>4</v>
      </c>
      <c r="F1" t="s">
        <v>5</v>
      </c>
      <c r="G1" t="s">
        <v>6</v>
      </c>
    </row>
    <row r="2" spans="1:7" x14ac:dyDescent="0.25">
      <c r="A2">
        <v>1917</v>
      </c>
      <c r="B2">
        <v>2022</v>
      </c>
      <c r="C2" t="s">
        <v>1300</v>
      </c>
      <c r="D2" t="s">
        <v>8</v>
      </c>
      <c r="E2" t="s">
        <v>1454</v>
      </c>
      <c r="F2" t="s">
        <v>1022</v>
      </c>
      <c r="G2" t="s">
        <v>1023</v>
      </c>
    </row>
    <row r="3" spans="1:7" x14ac:dyDescent="0.25">
      <c r="A3">
        <v>1915</v>
      </c>
      <c r="B3">
        <v>2022</v>
      </c>
      <c r="C3" t="s">
        <v>1300</v>
      </c>
      <c r="D3" t="s">
        <v>8</v>
      </c>
      <c r="E3" t="s">
        <v>1452</v>
      </c>
      <c r="F3" t="s">
        <v>1022</v>
      </c>
      <c r="G3" t="s">
        <v>1023</v>
      </c>
    </row>
    <row r="4" spans="1:7" x14ac:dyDescent="0.25">
      <c r="A4">
        <v>1913</v>
      </c>
      <c r="B4">
        <v>2022</v>
      </c>
      <c r="C4" t="s">
        <v>1300</v>
      </c>
      <c r="D4" t="s">
        <v>8</v>
      </c>
      <c r="E4" t="s">
        <v>1450</v>
      </c>
      <c r="F4" t="s">
        <v>1024</v>
      </c>
      <c r="G4" t="s">
        <v>172</v>
      </c>
    </row>
    <row r="5" spans="1:7" x14ac:dyDescent="0.25">
      <c r="A5">
        <v>1914</v>
      </c>
      <c r="B5">
        <v>2022</v>
      </c>
      <c r="C5" t="s">
        <v>1300</v>
      </c>
      <c r="D5" t="s">
        <v>8</v>
      </c>
      <c r="E5" t="s">
        <v>1451</v>
      </c>
      <c r="F5" t="s">
        <v>1022</v>
      </c>
      <c r="G5" t="s">
        <v>1306</v>
      </c>
    </row>
    <row r="6" spans="1:7" x14ac:dyDescent="0.25">
      <c r="A6">
        <v>1912</v>
      </c>
      <c r="B6">
        <v>2022</v>
      </c>
      <c r="C6" t="s">
        <v>1300</v>
      </c>
      <c r="D6" t="s">
        <v>8</v>
      </c>
      <c r="E6" t="s">
        <v>1449</v>
      </c>
      <c r="F6" t="s">
        <v>1022</v>
      </c>
      <c r="G6" t="s">
        <v>1120</v>
      </c>
    </row>
    <row r="7" spans="1:7" x14ac:dyDescent="0.25">
      <c r="A7">
        <v>1874</v>
      </c>
      <c r="B7">
        <v>2022</v>
      </c>
      <c r="C7" t="s">
        <v>1300</v>
      </c>
      <c r="D7" t="s">
        <v>34</v>
      </c>
      <c r="E7" t="s">
        <v>1427</v>
      </c>
      <c r="F7" t="s">
        <v>1022</v>
      </c>
      <c r="G7" t="s">
        <v>1023</v>
      </c>
    </row>
    <row r="8" spans="1:7" x14ac:dyDescent="0.25">
      <c r="A8">
        <v>1872</v>
      </c>
      <c r="B8">
        <v>2022</v>
      </c>
      <c r="C8" t="s">
        <v>1300</v>
      </c>
      <c r="D8" t="s">
        <v>34</v>
      </c>
      <c r="E8" t="s">
        <v>1425</v>
      </c>
      <c r="F8" t="s">
        <v>1022</v>
      </c>
      <c r="G8" t="s">
        <v>1023</v>
      </c>
    </row>
    <row r="9" spans="1:7" x14ac:dyDescent="0.25">
      <c r="A9">
        <v>1871</v>
      </c>
      <c r="B9">
        <v>2022</v>
      </c>
      <c r="C9" t="s">
        <v>1300</v>
      </c>
      <c r="D9" t="s">
        <v>34</v>
      </c>
      <c r="E9" t="s">
        <v>1424</v>
      </c>
      <c r="F9" t="s">
        <v>1022</v>
      </c>
      <c r="G9" t="s">
        <v>1306</v>
      </c>
    </row>
    <row r="10" spans="1:7" x14ac:dyDescent="0.25">
      <c r="A10">
        <v>1870</v>
      </c>
      <c r="B10">
        <v>2022</v>
      </c>
      <c r="C10" t="s">
        <v>1300</v>
      </c>
      <c r="D10" t="s">
        <v>34</v>
      </c>
      <c r="E10" t="s">
        <v>1423</v>
      </c>
      <c r="F10" t="s">
        <v>1022</v>
      </c>
      <c r="G10" t="s">
        <v>1306</v>
      </c>
    </row>
    <row r="11" spans="1:7" x14ac:dyDescent="0.25">
      <c r="A11">
        <v>1873</v>
      </c>
      <c r="B11">
        <v>2022</v>
      </c>
      <c r="C11" t="s">
        <v>1300</v>
      </c>
      <c r="D11" t="s">
        <v>34</v>
      </c>
      <c r="E11" t="s">
        <v>1426</v>
      </c>
      <c r="F11" t="s">
        <v>1038</v>
      </c>
      <c r="G11" t="s">
        <v>1307</v>
      </c>
    </row>
    <row r="12" spans="1:7" x14ac:dyDescent="0.25">
      <c r="A12">
        <v>1708</v>
      </c>
      <c r="B12">
        <v>2022</v>
      </c>
      <c r="C12" t="s">
        <v>1300</v>
      </c>
      <c r="D12" t="s">
        <v>57</v>
      </c>
      <c r="E12" t="s">
        <v>1316</v>
      </c>
      <c r="F12" t="s">
        <v>1061</v>
      </c>
      <c r="G12" t="s">
        <v>1062</v>
      </c>
    </row>
    <row r="13" spans="1:7" x14ac:dyDescent="0.25">
      <c r="A13">
        <v>1706</v>
      </c>
      <c r="B13">
        <v>2022</v>
      </c>
      <c r="C13" t="s">
        <v>1300</v>
      </c>
      <c r="D13" t="s">
        <v>57</v>
      </c>
      <c r="E13" t="s">
        <v>1309</v>
      </c>
      <c r="F13" t="s">
        <v>1061</v>
      </c>
      <c r="G13" t="s">
        <v>1062</v>
      </c>
    </row>
    <row r="14" spans="1:7" x14ac:dyDescent="0.25">
      <c r="A14">
        <v>1711</v>
      </c>
      <c r="B14">
        <v>2022</v>
      </c>
      <c r="C14" t="s">
        <v>1300</v>
      </c>
      <c r="D14" t="s">
        <v>57</v>
      </c>
      <c r="E14" t="s">
        <v>1317</v>
      </c>
      <c r="F14" t="s">
        <v>1021</v>
      </c>
      <c r="G14" t="s">
        <v>1910</v>
      </c>
    </row>
    <row r="15" spans="1:7" x14ac:dyDescent="0.25">
      <c r="A15">
        <v>1710</v>
      </c>
      <c r="B15">
        <v>2022</v>
      </c>
      <c r="C15" t="s">
        <v>1300</v>
      </c>
      <c r="D15" t="s">
        <v>57</v>
      </c>
      <c r="E15" t="s">
        <v>1314</v>
      </c>
      <c r="F15" t="s">
        <v>1022</v>
      </c>
      <c r="G15" t="s">
        <v>1023</v>
      </c>
    </row>
    <row r="16" spans="1:7" x14ac:dyDescent="0.25">
      <c r="A16">
        <v>1709</v>
      </c>
      <c r="B16">
        <v>2022</v>
      </c>
      <c r="C16" t="s">
        <v>1300</v>
      </c>
      <c r="D16" t="s">
        <v>57</v>
      </c>
      <c r="E16" t="s">
        <v>1313</v>
      </c>
      <c r="F16" t="s">
        <v>1022</v>
      </c>
      <c r="G16" t="s">
        <v>1023</v>
      </c>
    </row>
    <row r="17" spans="1:7" x14ac:dyDescent="0.25">
      <c r="A17">
        <v>1707</v>
      </c>
      <c r="B17">
        <v>2022</v>
      </c>
      <c r="C17" t="s">
        <v>1300</v>
      </c>
      <c r="D17" t="s">
        <v>57</v>
      </c>
      <c r="E17" t="s">
        <v>1310</v>
      </c>
      <c r="F17" t="s">
        <v>1021</v>
      </c>
      <c r="G17" t="s">
        <v>1311</v>
      </c>
    </row>
    <row r="18" spans="1:7" x14ac:dyDescent="0.25">
      <c r="A18">
        <v>1790</v>
      </c>
      <c r="B18">
        <v>2022</v>
      </c>
      <c r="C18" t="s">
        <v>1300</v>
      </c>
      <c r="D18" t="s">
        <v>89</v>
      </c>
      <c r="E18" t="s">
        <v>1374</v>
      </c>
      <c r="F18" t="s">
        <v>1024</v>
      </c>
      <c r="G18" t="s">
        <v>1911</v>
      </c>
    </row>
    <row r="19" spans="1:7" x14ac:dyDescent="0.25">
      <c r="A19">
        <v>1785</v>
      </c>
      <c r="B19">
        <v>2022</v>
      </c>
      <c r="C19" t="s">
        <v>1300</v>
      </c>
      <c r="D19" t="s">
        <v>89</v>
      </c>
      <c r="E19" t="s">
        <v>1371</v>
      </c>
      <c r="F19" t="s">
        <v>1024</v>
      </c>
      <c r="G19" t="s">
        <v>172</v>
      </c>
    </row>
    <row r="20" spans="1:7" x14ac:dyDescent="0.25">
      <c r="A20">
        <v>1791</v>
      </c>
      <c r="B20">
        <v>2022</v>
      </c>
      <c r="C20" t="s">
        <v>1300</v>
      </c>
      <c r="D20" t="s">
        <v>89</v>
      </c>
      <c r="E20" t="s">
        <v>1375</v>
      </c>
      <c r="F20" t="s">
        <v>1038</v>
      </c>
      <c r="G20" t="s">
        <v>1307</v>
      </c>
    </row>
    <row r="21" spans="1:7" x14ac:dyDescent="0.25">
      <c r="A21">
        <v>1789</v>
      </c>
      <c r="B21">
        <v>2022</v>
      </c>
      <c r="C21" t="s">
        <v>1300</v>
      </c>
      <c r="D21" t="s">
        <v>89</v>
      </c>
      <c r="E21" t="s">
        <v>1373</v>
      </c>
      <c r="F21" t="s">
        <v>1038</v>
      </c>
      <c r="G21" t="s">
        <v>1307</v>
      </c>
    </row>
    <row r="22" spans="1:7" x14ac:dyDescent="0.25">
      <c r="A22">
        <v>1788</v>
      </c>
      <c r="B22">
        <v>2022</v>
      </c>
      <c r="C22" t="s">
        <v>1300</v>
      </c>
      <c r="D22" t="s">
        <v>89</v>
      </c>
      <c r="E22" t="s">
        <v>1372</v>
      </c>
      <c r="F22" t="s">
        <v>1038</v>
      </c>
      <c r="G22" t="s">
        <v>1307</v>
      </c>
    </row>
    <row r="23" spans="1:7" x14ac:dyDescent="0.25">
      <c r="A23">
        <v>1786</v>
      </c>
      <c r="B23">
        <v>2022</v>
      </c>
      <c r="C23" t="s">
        <v>1300</v>
      </c>
      <c r="D23" t="s">
        <v>89</v>
      </c>
      <c r="E23" t="s">
        <v>1365</v>
      </c>
      <c r="F23" t="s">
        <v>1021</v>
      </c>
      <c r="G23" t="s">
        <v>1311</v>
      </c>
    </row>
    <row r="24" spans="1:7" x14ac:dyDescent="0.25">
      <c r="A24">
        <v>1855</v>
      </c>
      <c r="B24">
        <v>2022</v>
      </c>
      <c r="C24" t="s">
        <v>1300</v>
      </c>
      <c r="D24" t="s">
        <v>102</v>
      </c>
      <c r="E24" t="s">
        <v>1409</v>
      </c>
      <c r="F24" t="s">
        <v>1022</v>
      </c>
      <c r="G24" t="s">
        <v>1173</v>
      </c>
    </row>
    <row r="25" spans="1:7" x14ac:dyDescent="0.25">
      <c r="A25">
        <v>1860</v>
      </c>
      <c r="B25">
        <v>2022</v>
      </c>
      <c r="C25" t="s">
        <v>1300</v>
      </c>
      <c r="D25" t="s">
        <v>102</v>
      </c>
      <c r="E25" t="s">
        <v>1419</v>
      </c>
      <c r="F25" t="s">
        <v>1021</v>
      </c>
      <c r="G25" t="s">
        <v>70</v>
      </c>
    </row>
    <row r="26" spans="1:7" x14ac:dyDescent="0.25">
      <c r="A26">
        <v>1863</v>
      </c>
      <c r="B26">
        <v>2022</v>
      </c>
      <c r="C26" t="s">
        <v>1300</v>
      </c>
      <c r="D26" t="s">
        <v>102</v>
      </c>
      <c r="E26" t="s">
        <v>1422</v>
      </c>
      <c r="F26" t="s">
        <v>1041</v>
      </c>
      <c r="G26" t="s">
        <v>43</v>
      </c>
    </row>
    <row r="27" spans="1:7" x14ac:dyDescent="0.25">
      <c r="A27">
        <v>1862</v>
      </c>
      <c r="B27">
        <v>2022</v>
      </c>
      <c r="C27" t="s">
        <v>1300</v>
      </c>
      <c r="D27" t="s">
        <v>102</v>
      </c>
      <c r="E27" t="s">
        <v>1421</v>
      </c>
      <c r="F27" t="s">
        <v>1022</v>
      </c>
      <c r="G27" t="s">
        <v>1023</v>
      </c>
    </row>
    <row r="28" spans="1:7" x14ac:dyDescent="0.25">
      <c r="A28">
        <v>1861</v>
      </c>
      <c r="B28">
        <v>2022</v>
      </c>
      <c r="C28" t="s">
        <v>1300</v>
      </c>
      <c r="D28" t="s">
        <v>102</v>
      </c>
      <c r="E28" t="s">
        <v>1420</v>
      </c>
      <c r="F28" t="s">
        <v>1022</v>
      </c>
      <c r="G28" t="s">
        <v>1023</v>
      </c>
    </row>
    <row r="29" spans="1:7" x14ac:dyDescent="0.25">
      <c r="A29">
        <v>1857</v>
      </c>
      <c r="B29">
        <v>2022</v>
      </c>
      <c r="C29" t="s">
        <v>1300</v>
      </c>
      <c r="D29" t="s">
        <v>102</v>
      </c>
      <c r="E29" t="s">
        <v>1411</v>
      </c>
      <c r="F29" t="s">
        <v>1022</v>
      </c>
      <c r="G29" t="s">
        <v>1023</v>
      </c>
    </row>
    <row r="30" spans="1:7" x14ac:dyDescent="0.25">
      <c r="A30">
        <v>1856</v>
      </c>
      <c r="B30">
        <v>2022</v>
      </c>
      <c r="C30" t="s">
        <v>1300</v>
      </c>
      <c r="D30" t="s">
        <v>102</v>
      </c>
      <c r="E30" t="s">
        <v>1410</v>
      </c>
      <c r="F30" t="s">
        <v>1022</v>
      </c>
      <c r="G30" t="s">
        <v>1023</v>
      </c>
    </row>
    <row r="31" spans="1:7" x14ac:dyDescent="0.25">
      <c r="A31">
        <v>1854</v>
      </c>
      <c r="B31">
        <v>2022</v>
      </c>
      <c r="C31" t="s">
        <v>1300</v>
      </c>
      <c r="D31" t="s">
        <v>102</v>
      </c>
      <c r="E31" t="s">
        <v>1408</v>
      </c>
      <c r="F31" t="s">
        <v>1022</v>
      </c>
      <c r="G31" t="s">
        <v>1023</v>
      </c>
    </row>
    <row r="32" spans="1:7" x14ac:dyDescent="0.25">
      <c r="A32">
        <v>1852</v>
      </c>
      <c r="B32">
        <v>2022</v>
      </c>
      <c r="C32" t="s">
        <v>1300</v>
      </c>
      <c r="D32" t="s">
        <v>102</v>
      </c>
      <c r="E32" t="s">
        <v>1406</v>
      </c>
      <c r="F32" t="s">
        <v>1022</v>
      </c>
      <c r="G32" t="s">
        <v>1023</v>
      </c>
    </row>
    <row r="33" spans="1:7" x14ac:dyDescent="0.25">
      <c r="A33">
        <v>1851</v>
      </c>
      <c r="B33">
        <v>2022</v>
      </c>
      <c r="C33" t="s">
        <v>1300</v>
      </c>
      <c r="D33" t="s">
        <v>102</v>
      </c>
      <c r="E33" t="s">
        <v>1405</v>
      </c>
      <c r="F33" t="s">
        <v>1022</v>
      </c>
      <c r="G33" t="s">
        <v>1306</v>
      </c>
    </row>
    <row r="34" spans="1:7" x14ac:dyDescent="0.25">
      <c r="A34">
        <v>1853</v>
      </c>
      <c r="B34">
        <v>2022</v>
      </c>
      <c r="C34" t="s">
        <v>1300</v>
      </c>
      <c r="D34" t="s">
        <v>102</v>
      </c>
      <c r="E34" t="s">
        <v>1407</v>
      </c>
      <c r="F34" t="s">
        <v>1038</v>
      </c>
      <c r="G34" t="s">
        <v>1307</v>
      </c>
    </row>
    <row r="35" spans="1:7" x14ac:dyDescent="0.25">
      <c r="A35">
        <v>1945</v>
      </c>
      <c r="B35">
        <v>2022</v>
      </c>
      <c r="C35" t="s">
        <v>1300</v>
      </c>
      <c r="D35" t="s">
        <v>139</v>
      </c>
      <c r="E35" t="s">
        <v>1472</v>
      </c>
      <c r="F35" t="s">
        <v>1061</v>
      </c>
      <c r="G35" t="s">
        <v>1062</v>
      </c>
    </row>
    <row r="36" spans="1:7" x14ac:dyDescent="0.25">
      <c r="A36">
        <v>1943</v>
      </c>
      <c r="B36">
        <v>2022</v>
      </c>
      <c r="C36" t="s">
        <v>1300</v>
      </c>
      <c r="D36" t="s">
        <v>139</v>
      </c>
      <c r="E36" t="s">
        <v>1464</v>
      </c>
      <c r="F36" t="s">
        <v>1038</v>
      </c>
      <c r="G36" t="s">
        <v>1124</v>
      </c>
    </row>
    <row r="37" spans="1:7" x14ac:dyDescent="0.25">
      <c r="A37">
        <v>1942</v>
      </c>
      <c r="B37">
        <v>2022</v>
      </c>
      <c r="C37" t="s">
        <v>1300</v>
      </c>
      <c r="D37" t="s">
        <v>139</v>
      </c>
      <c r="E37" t="s">
        <v>1471</v>
      </c>
      <c r="F37" t="s">
        <v>1022</v>
      </c>
      <c r="G37" t="s">
        <v>1023</v>
      </c>
    </row>
    <row r="38" spans="1:7" x14ac:dyDescent="0.25">
      <c r="A38">
        <v>1948</v>
      </c>
      <c r="B38">
        <v>2022</v>
      </c>
      <c r="C38" t="s">
        <v>1300</v>
      </c>
      <c r="D38" t="s">
        <v>139</v>
      </c>
      <c r="E38" t="s">
        <v>1475</v>
      </c>
      <c r="F38" t="s">
        <v>1038</v>
      </c>
      <c r="G38" t="s">
        <v>1307</v>
      </c>
    </row>
    <row r="39" spans="1:7" x14ac:dyDescent="0.25">
      <c r="A39">
        <v>1947</v>
      </c>
      <c r="B39">
        <v>2022</v>
      </c>
      <c r="C39" t="s">
        <v>1300</v>
      </c>
      <c r="D39" t="s">
        <v>139</v>
      </c>
      <c r="E39" t="s">
        <v>1474</v>
      </c>
      <c r="F39" t="s">
        <v>1038</v>
      </c>
      <c r="G39" t="s">
        <v>1307</v>
      </c>
    </row>
    <row r="40" spans="1:7" x14ac:dyDescent="0.25">
      <c r="A40">
        <v>1949</v>
      </c>
      <c r="B40">
        <v>2022</v>
      </c>
      <c r="C40" t="s">
        <v>1300</v>
      </c>
      <c r="D40" t="s">
        <v>139</v>
      </c>
      <c r="E40" t="s">
        <v>1476</v>
      </c>
      <c r="F40" t="s">
        <v>1061</v>
      </c>
      <c r="G40" t="s">
        <v>1356</v>
      </c>
    </row>
    <row r="41" spans="1:7" x14ac:dyDescent="0.25">
      <c r="A41">
        <v>1946</v>
      </c>
      <c r="B41">
        <v>2022</v>
      </c>
      <c r="C41" t="s">
        <v>1300</v>
      </c>
      <c r="D41" t="s">
        <v>139</v>
      </c>
      <c r="E41" t="s">
        <v>1473</v>
      </c>
      <c r="F41" t="s">
        <v>1061</v>
      </c>
      <c r="G41" t="s">
        <v>1356</v>
      </c>
    </row>
    <row r="42" spans="1:7" x14ac:dyDescent="0.25">
      <c r="A42">
        <v>1900</v>
      </c>
      <c r="B42">
        <v>2022</v>
      </c>
      <c r="C42" t="s">
        <v>1300</v>
      </c>
      <c r="D42" t="s">
        <v>191</v>
      </c>
      <c r="E42" t="s">
        <v>1445</v>
      </c>
      <c r="F42" t="s">
        <v>1021</v>
      </c>
      <c r="G42" t="s">
        <v>1237</v>
      </c>
    </row>
    <row r="43" spans="1:7" x14ac:dyDescent="0.25">
      <c r="A43">
        <v>1901</v>
      </c>
      <c r="B43">
        <v>2022</v>
      </c>
      <c r="C43" t="s">
        <v>1300</v>
      </c>
      <c r="D43" t="s">
        <v>191</v>
      </c>
      <c r="E43" t="s">
        <v>1446</v>
      </c>
      <c r="F43" t="s">
        <v>1038</v>
      </c>
      <c r="G43" t="s">
        <v>1124</v>
      </c>
    </row>
    <row r="44" spans="1:7" x14ac:dyDescent="0.25">
      <c r="A44">
        <v>1836</v>
      </c>
      <c r="B44">
        <v>2022</v>
      </c>
      <c r="C44" t="s">
        <v>1300</v>
      </c>
      <c r="D44" t="s">
        <v>208</v>
      </c>
      <c r="E44" t="s">
        <v>1403</v>
      </c>
      <c r="F44" t="s">
        <v>1021</v>
      </c>
      <c r="G44" t="s">
        <v>1237</v>
      </c>
    </row>
    <row r="45" spans="1:7" x14ac:dyDescent="0.25">
      <c r="A45">
        <v>1830</v>
      </c>
      <c r="B45">
        <v>2022</v>
      </c>
      <c r="C45" t="s">
        <v>1300</v>
      </c>
      <c r="D45" t="s">
        <v>208</v>
      </c>
      <c r="E45" t="s">
        <v>1397</v>
      </c>
      <c r="F45" t="s">
        <v>1021</v>
      </c>
      <c r="G45" t="s">
        <v>1237</v>
      </c>
    </row>
    <row r="46" spans="1:7" x14ac:dyDescent="0.25">
      <c r="A46">
        <v>1829</v>
      </c>
      <c r="B46">
        <v>2022</v>
      </c>
      <c r="C46" t="s">
        <v>1300</v>
      </c>
      <c r="D46" t="s">
        <v>208</v>
      </c>
      <c r="E46" t="s">
        <v>1404</v>
      </c>
      <c r="F46" t="s">
        <v>1021</v>
      </c>
      <c r="G46" t="s">
        <v>70</v>
      </c>
    </row>
    <row r="47" spans="1:7" x14ac:dyDescent="0.25">
      <c r="A47">
        <v>1714</v>
      </c>
      <c r="B47">
        <v>2022</v>
      </c>
      <c r="C47" t="s">
        <v>1300</v>
      </c>
      <c r="D47" t="s">
        <v>237</v>
      </c>
      <c r="E47" t="s">
        <v>1318</v>
      </c>
      <c r="F47" t="s">
        <v>1061</v>
      </c>
      <c r="G47" t="s">
        <v>1062</v>
      </c>
    </row>
    <row r="48" spans="1:7" x14ac:dyDescent="0.25">
      <c r="A48">
        <v>1715</v>
      </c>
      <c r="B48">
        <v>2022</v>
      </c>
      <c r="C48" t="s">
        <v>1300</v>
      </c>
      <c r="D48" t="s">
        <v>237</v>
      </c>
      <c r="E48" t="s">
        <v>1319</v>
      </c>
      <c r="F48" t="s">
        <v>1021</v>
      </c>
      <c r="G48" t="s">
        <v>70</v>
      </c>
    </row>
    <row r="49" spans="1:7" x14ac:dyDescent="0.25">
      <c r="A49">
        <v>1717</v>
      </c>
      <c r="B49">
        <v>2022</v>
      </c>
      <c r="C49" t="s">
        <v>1300</v>
      </c>
      <c r="D49" t="s">
        <v>237</v>
      </c>
      <c r="E49" t="s">
        <v>1321</v>
      </c>
      <c r="F49" t="s">
        <v>1024</v>
      </c>
      <c r="G49" t="s">
        <v>1911</v>
      </c>
    </row>
    <row r="50" spans="1:7" x14ac:dyDescent="0.25">
      <c r="A50">
        <v>1718</v>
      </c>
      <c r="B50">
        <v>2022</v>
      </c>
      <c r="C50" t="s">
        <v>1300</v>
      </c>
      <c r="D50" t="s">
        <v>237</v>
      </c>
      <c r="E50" t="s">
        <v>1322</v>
      </c>
      <c r="F50" t="s">
        <v>1022</v>
      </c>
      <c r="G50" t="s">
        <v>1306</v>
      </c>
    </row>
    <row r="51" spans="1:7" x14ac:dyDescent="0.25">
      <c r="A51">
        <v>1699</v>
      </c>
      <c r="B51">
        <v>2022</v>
      </c>
      <c r="C51" t="s">
        <v>1300</v>
      </c>
      <c r="D51" t="s">
        <v>170</v>
      </c>
      <c r="E51" t="s">
        <v>1308</v>
      </c>
      <c r="F51" t="s">
        <v>1061</v>
      </c>
      <c r="G51" t="s">
        <v>1062</v>
      </c>
    </row>
    <row r="52" spans="1:7" x14ac:dyDescent="0.25">
      <c r="A52">
        <v>1694</v>
      </c>
      <c r="B52">
        <v>2022</v>
      </c>
      <c r="C52" t="s">
        <v>1300</v>
      </c>
      <c r="D52" t="s">
        <v>170</v>
      </c>
      <c r="E52" t="s">
        <v>1304</v>
      </c>
      <c r="F52" t="s">
        <v>1022</v>
      </c>
      <c r="G52" t="s">
        <v>1173</v>
      </c>
    </row>
    <row r="53" spans="1:7" x14ac:dyDescent="0.25">
      <c r="A53">
        <v>1695</v>
      </c>
      <c r="B53">
        <v>2022</v>
      </c>
      <c r="C53" t="s">
        <v>1300</v>
      </c>
      <c r="D53" t="s">
        <v>170</v>
      </c>
      <c r="E53" t="s">
        <v>1305</v>
      </c>
      <c r="F53" t="s">
        <v>1022</v>
      </c>
      <c r="G53" t="s">
        <v>1023</v>
      </c>
    </row>
    <row r="54" spans="1:7" x14ac:dyDescent="0.25">
      <c r="A54">
        <v>1697</v>
      </c>
      <c r="B54">
        <v>2022</v>
      </c>
      <c r="C54" t="s">
        <v>1300</v>
      </c>
      <c r="D54" t="s">
        <v>170</v>
      </c>
      <c r="E54" t="s">
        <v>1302</v>
      </c>
      <c r="F54" t="s">
        <v>1024</v>
      </c>
      <c r="G54" t="s">
        <v>172</v>
      </c>
    </row>
    <row r="55" spans="1:7" x14ac:dyDescent="0.25">
      <c r="A55">
        <v>1696</v>
      </c>
      <c r="B55">
        <v>2022</v>
      </c>
      <c r="C55" t="s">
        <v>1300</v>
      </c>
      <c r="D55" t="s">
        <v>170</v>
      </c>
      <c r="E55" t="s">
        <v>1301</v>
      </c>
      <c r="F55" t="s">
        <v>1022</v>
      </c>
      <c r="G55" t="s">
        <v>1306</v>
      </c>
    </row>
    <row r="56" spans="1:7" x14ac:dyDescent="0.25">
      <c r="A56">
        <v>1698</v>
      </c>
      <c r="B56">
        <v>2022</v>
      </c>
      <c r="C56" t="s">
        <v>1300</v>
      </c>
      <c r="D56" t="s">
        <v>170</v>
      </c>
      <c r="E56" t="s">
        <v>1303</v>
      </c>
      <c r="F56" t="s">
        <v>1038</v>
      </c>
      <c r="G56" t="s">
        <v>1307</v>
      </c>
    </row>
    <row r="57" spans="1:7" x14ac:dyDescent="0.25">
      <c r="A57">
        <v>1800</v>
      </c>
      <c r="B57">
        <v>2022</v>
      </c>
      <c r="C57" t="s">
        <v>1300</v>
      </c>
      <c r="D57" t="s">
        <v>246</v>
      </c>
      <c r="E57" t="s">
        <v>1378</v>
      </c>
      <c r="F57" t="s">
        <v>1021</v>
      </c>
      <c r="G57" t="s">
        <v>70</v>
      </c>
    </row>
    <row r="58" spans="1:7" x14ac:dyDescent="0.25">
      <c r="A58">
        <v>1798</v>
      </c>
      <c r="B58">
        <v>2022</v>
      </c>
      <c r="C58" t="s">
        <v>1300</v>
      </c>
      <c r="D58" t="s">
        <v>246</v>
      </c>
      <c r="E58" t="s">
        <v>1376</v>
      </c>
      <c r="F58" t="s">
        <v>1021</v>
      </c>
      <c r="G58" t="s">
        <v>70</v>
      </c>
    </row>
    <row r="59" spans="1:7" x14ac:dyDescent="0.25">
      <c r="A59">
        <v>1801</v>
      </c>
      <c r="B59">
        <v>2022</v>
      </c>
      <c r="C59" t="s">
        <v>1300</v>
      </c>
      <c r="D59" t="s">
        <v>246</v>
      </c>
      <c r="E59" t="s">
        <v>1379</v>
      </c>
      <c r="F59" t="s">
        <v>1024</v>
      </c>
      <c r="G59" t="s">
        <v>1911</v>
      </c>
    </row>
    <row r="60" spans="1:7" x14ac:dyDescent="0.25">
      <c r="A60">
        <v>1799</v>
      </c>
      <c r="B60">
        <v>2022</v>
      </c>
      <c r="C60" t="s">
        <v>1300</v>
      </c>
      <c r="D60" t="s">
        <v>246</v>
      </c>
      <c r="E60" t="s">
        <v>1377</v>
      </c>
      <c r="F60" t="s">
        <v>1041</v>
      </c>
      <c r="G60" t="s">
        <v>43</v>
      </c>
    </row>
    <row r="61" spans="1:7" x14ac:dyDescent="0.25">
      <c r="A61">
        <v>1803</v>
      </c>
      <c r="B61">
        <v>2022</v>
      </c>
      <c r="C61" t="s">
        <v>1300</v>
      </c>
      <c r="D61" t="s">
        <v>246</v>
      </c>
      <c r="E61" t="s">
        <v>1381</v>
      </c>
      <c r="F61" t="s">
        <v>1061</v>
      </c>
      <c r="G61" t="s">
        <v>1356</v>
      </c>
    </row>
    <row r="62" spans="1:7" x14ac:dyDescent="0.25">
      <c r="A62">
        <v>1802</v>
      </c>
      <c r="B62">
        <v>2022</v>
      </c>
      <c r="C62" t="s">
        <v>1300</v>
      </c>
      <c r="D62" t="s">
        <v>246</v>
      </c>
      <c r="E62" t="s">
        <v>1380</v>
      </c>
      <c r="F62" t="s">
        <v>1061</v>
      </c>
      <c r="G62" t="s">
        <v>1356</v>
      </c>
    </row>
    <row r="63" spans="1:7" x14ac:dyDescent="0.25">
      <c r="A63">
        <v>1982</v>
      </c>
      <c r="B63">
        <v>2022</v>
      </c>
      <c r="C63" t="s">
        <v>1300</v>
      </c>
      <c r="D63" t="s">
        <v>279</v>
      </c>
      <c r="E63" t="s">
        <v>1501</v>
      </c>
      <c r="F63" t="s">
        <v>1024</v>
      </c>
      <c r="G63" t="s">
        <v>172</v>
      </c>
    </row>
    <row r="64" spans="1:7" x14ac:dyDescent="0.25">
      <c r="A64">
        <v>1979</v>
      </c>
      <c r="B64">
        <v>2022</v>
      </c>
      <c r="C64" t="s">
        <v>1300</v>
      </c>
      <c r="D64" t="s">
        <v>279</v>
      </c>
      <c r="E64" t="s">
        <v>1499</v>
      </c>
      <c r="F64" t="s">
        <v>1038</v>
      </c>
      <c r="G64" t="s">
        <v>1307</v>
      </c>
    </row>
    <row r="65" spans="1:7" x14ac:dyDescent="0.25">
      <c r="A65">
        <v>1983</v>
      </c>
      <c r="B65">
        <v>2022</v>
      </c>
      <c r="C65" t="s">
        <v>1300</v>
      </c>
      <c r="D65" t="s">
        <v>279</v>
      </c>
      <c r="E65" t="s">
        <v>1502</v>
      </c>
      <c r="F65" t="s">
        <v>1061</v>
      </c>
      <c r="G65" t="s">
        <v>1356</v>
      </c>
    </row>
    <row r="66" spans="1:7" x14ac:dyDescent="0.25">
      <c r="A66">
        <v>1981</v>
      </c>
      <c r="B66">
        <v>2022</v>
      </c>
      <c r="C66" t="s">
        <v>1300</v>
      </c>
      <c r="D66" t="s">
        <v>279</v>
      </c>
      <c r="E66" t="s">
        <v>1500</v>
      </c>
      <c r="F66" t="s">
        <v>1061</v>
      </c>
      <c r="G66" t="s">
        <v>1356</v>
      </c>
    </row>
    <row r="67" spans="1:7" x14ac:dyDescent="0.25">
      <c r="A67">
        <v>1766</v>
      </c>
      <c r="B67">
        <v>2022</v>
      </c>
      <c r="C67" t="s">
        <v>1300</v>
      </c>
      <c r="D67" t="s">
        <v>306</v>
      </c>
      <c r="E67" t="s">
        <v>1359</v>
      </c>
      <c r="F67" t="s">
        <v>1061</v>
      </c>
      <c r="G67" t="s">
        <v>1062</v>
      </c>
    </row>
    <row r="68" spans="1:7" x14ac:dyDescent="0.25">
      <c r="A68">
        <v>1758</v>
      </c>
      <c r="B68">
        <v>2022</v>
      </c>
      <c r="C68" t="s">
        <v>1300</v>
      </c>
      <c r="D68" t="s">
        <v>306</v>
      </c>
      <c r="E68" t="s">
        <v>1351</v>
      </c>
      <c r="F68" t="s">
        <v>1061</v>
      </c>
      <c r="G68" t="s">
        <v>1062</v>
      </c>
    </row>
    <row r="69" spans="1:7" x14ac:dyDescent="0.25">
      <c r="A69">
        <v>1761</v>
      </c>
      <c r="B69">
        <v>2022</v>
      </c>
      <c r="C69" t="s">
        <v>1300</v>
      </c>
      <c r="D69" t="s">
        <v>306</v>
      </c>
      <c r="E69" t="s">
        <v>1354</v>
      </c>
      <c r="F69" t="s">
        <v>1021</v>
      </c>
      <c r="G69" t="s">
        <v>1026</v>
      </c>
    </row>
    <row r="70" spans="1:7" x14ac:dyDescent="0.25">
      <c r="A70">
        <v>1765</v>
      </c>
      <c r="B70">
        <v>2022</v>
      </c>
      <c r="C70" t="s">
        <v>1300</v>
      </c>
      <c r="D70" t="s">
        <v>306</v>
      </c>
      <c r="E70" t="s">
        <v>1358</v>
      </c>
      <c r="F70" t="s">
        <v>1024</v>
      </c>
      <c r="G70" t="s">
        <v>1025</v>
      </c>
    </row>
    <row r="71" spans="1:7" x14ac:dyDescent="0.25">
      <c r="A71">
        <v>1759</v>
      </c>
      <c r="B71">
        <v>2022</v>
      </c>
      <c r="C71" t="s">
        <v>1300</v>
      </c>
      <c r="D71" t="s">
        <v>306</v>
      </c>
      <c r="E71" t="s">
        <v>1352</v>
      </c>
      <c r="F71" t="s">
        <v>1021</v>
      </c>
      <c r="G71" t="s">
        <v>70</v>
      </c>
    </row>
    <row r="72" spans="1:7" x14ac:dyDescent="0.25">
      <c r="A72">
        <v>1753</v>
      </c>
      <c r="B72">
        <v>2022</v>
      </c>
      <c r="C72" t="s">
        <v>1300</v>
      </c>
      <c r="D72" t="s">
        <v>306</v>
      </c>
      <c r="E72" t="s">
        <v>1335</v>
      </c>
      <c r="F72" t="s">
        <v>1021</v>
      </c>
      <c r="G72" t="s">
        <v>70</v>
      </c>
    </row>
    <row r="73" spans="1:7" x14ac:dyDescent="0.25">
      <c r="A73">
        <v>1777</v>
      </c>
      <c r="B73">
        <v>2022</v>
      </c>
      <c r="C73" t="s">
        <v>1300</v>
      </c>
      <c r="D73" t="s">
        <v>306</v>
      </c>
      <c r="E73" t="s">
        <v>1363</v>
      </c>
      <c r="F73" t="s">
        <v>1022</v>
      </c>
      <c r="G73" t="s">
        <v>1023</v>
      </c>
    </row>
    <row r="74" spans="1:7" x14ac:dyDescent="0.25">
      <c r="A74">
        <v>1771</v>
      </c>
      <c r="B74">
        <v>2022</v>
      </c>
      <c r="C74" t="s">
        <v>1300</v>
      </c>
      <c r="D74" t="s">
        <v>306</v>
      </c>
      <c r="E74" t="s">
        <v>1343</v>
      </c>
      <c r="F74" t="s">
        <v>1022</v>
      </c>
      <c r="G74" t="s">
        <v>1023</v>
      </c>
    </row>
    <row r="75" spans="1:7" x14ac:dyDescent="0.25">
      <c r="A75">
        <v>1770</v>
      </c>
      <c r="B75">
        <v>2022</v>
      </c>
      <c r="C75" t="s">
        <v>1300</v>
      </c>
      <c r="D75" t="s">
        <v>306</v>
      </c>
      <c r="E75" t="s">
        <v>1362</v>
      </c>
      <c r="F75" t="s">
        <v>1022</v>
      </c>
      <c r="G75" t="s">
        <v>1023</v>
      </c>
    </row>
    <row r="76" spans="1:7" x14ac:dyDescent="0.25">
      <c r="A76">
        <v>1757</v>
      </c>
      <c r="B76">
        <v>2022</v>
      </c>
      <c r="C76" t="s">
        <v>1300</v>
      </c>
      <c r="D76" t="s">
        <v>306</v>
      </c>
      <c r="E76" t="s">
        <v>1350</v>
      </c>
      <c r="F76" t="s">
        <v>1022</v>
      </c>
      <c r="G76" t="s">
        <v>1023</v>
      </c>
    </row>
    <row r="77" spans="1:7" x14ac:dyDescent="0.25">
      <c r="A77">
        <v>1755</v>
      </c>
      <c r="B77">
        <v>2022</v>
      </c>
      <c r="C77" t="s">
        <v>1300</v>
      </c>
      <c r="D77" t="s">
        <v>306</v>
      </c>
      <c r="E77" t="s">
        <v>1329</v>
      </c>
      <c r="F77" t="s">
        <v>1022</v>
      </c>
      <c r="G77" t="s">
        <v>1023</v>
      </c>
    </row>
    <row r="78" spans="1:7" x14ac:dyDescent="0.25">
      <c r="A78">
        <v>1775</v>
      </c>
      <c r="B78">
        <v>2022</v>
      </c>
      <c r="C78" t="s">
        <v>1300</v>
      </c>
      <c r="D78" t="s">
        <v>306</v>
      </c>
      <c r="E78" t="s">
        <v>1347</v>
      </c>
      <c r="F78" t="s">
        <v>1024</v>
      </c>
      <c r="G78" t="s">
        <v>172</v>
      </c>
    </row>
    <row r="79" spans="1:7" x14ac:dyDescent="0.25">
      <c r="A79">
        <v>1776</v>
      </c>
      <c r="B79">
        <v>2022</v>
      </c>
      <c r="C79" t="s">
        <v>1300</v>
      </c>
      <c r="D79" t="s">
        <v>306</v>
      </c>
      <c r="E79" t="s">
        <v>1348</v>
      </c>
      <c r="F79" t="s">
        <v>1022</v>
      </c>
      <c r="G79" t="s">
        <v>1306</v>
      </c>
    </row>
    <row r="80" spans="1:7" x14ac:dyDescent="0.25">
      <c r="A80">
        <v>1773</v>
      </c>
      <c r="B80">
        <v>2022</v>
      </c>
      <c r="C80" t="s">
        <v>1300</v>
      </c>
      <c r="D80" t="s">
        <v>306</v>
      </c>
      <c r="E80" t="s">
        <v>1345</v>
      </c>
      <c r="F80" t="s">
        <v>1022</v>
      </c>
      <c r="G80" t="s">
        <v>1306</v>
      </c>
    </row>
    <row r="81" spans="1:7" x14ac:dyDescent="0.25">
      <c r="A81">
        <v>1772</v>
      </c>
      <c r="B81">
        <v>2022</v>
      </c>
      <c r="C81" t="s">
        <v>1300</v>
      </c>
      <c r="D81" t="s">
        <v>306</v>
      </c>
      <c r="E81" t="s">
        <v>1344</v>
      </c>
      <c r="F81" t="s">
        <v>1022</v>
      </c>
      <c r="G81" t="s">
        <v>1306</v>
      </c>
    </row>
    <row r="82" spans="1:7" x14ac:dyDescent="0.25">
      <c r="A82">
        <v>1760</v>
      </c>
      <c r="B82">
        <v>2022</v>
      </c>
      <c r="C82" t="s">
        <v>1300</v>
      </c>
      <c r="D82" t="s">
        <v>306</v>
      </c>
      <c r="E82" t="s">
        <v>1353</v>
      </c>
      <c r="F82" t="s">
        <v>1022</v>
      </c>
      <c r="G82" t="s">
        <v>1306</v>
      </c>
    </row>
    <row r="83" spans="1:7" x14ac:dyDescent="0.25">
      <c r="A83">
        <v>1774</v>
      </c>
      <c r="B83">
        <v>2022</v>
      </c>
      <c r="C83" t="s">
        <v>1300</v>
      </c>
      <c r="D83" t="s">
        <v>306</v>
      </c>
      <c r="E83" t="s">
        <v>1346</v>
      </c>
      <c r="F83" t="s">
        <v>1038</v>
      </c>
      <c r="G83" t="s">
        <v>1307</v>
      </c>
    </row>
    <row r="84" spans="1:7" x14ac:dyDescent="0.25">
      <c r="A84">
        <v>1764</v>
      </c>
      <c r="B84">
        <v>2022</v>
      </c>
      <c r="C84" t="s">
        <v>1300</v>
      </c>
      <c r="D84" t="s">
        <v>306</v>
      </c>
      <c r="E84" t="s">
        <v>1357</v>
      </c>
      <c r="F84" t="s">
        <v>1038</v>
      </c>
      <c r="G84" t="s">
        <v>1307</v>
      </c>
    </row>
    <row r="85" spans="1:7" ht="210" x14ac:dyDescent="0.25">
      <c r="A85">
        <v>1754</v>
      </c>
      <c r="B85">
        <v>2022</v>
      </c>
      <c r="C85" t="s">
        <v>1300</v>
      </c>
      <c r="D85" t="s">
        <v>306</v>
      </c>
      <c r="E85" s="149" t="s">
        <v>1336</v>
      </c>
      <c r="F85" t="s">
        <v>1038</v>
      </c>
      <c r="G85" t="s">
        <v>1307</v>
      </c>
    </row>
    <row r="86" spans="1:7" ht="165" x14ac:dyDescent="0.25">
      <c r="A86">
        <v>1752</v>
      </c>
      <c r="B86">
        <v>2022</v>
      </c>
      <c r="C86" t="s">
        <v>1300</v>
      </c>
      <c r="D86" t="s">
        <v>306</v>
      </c>
      <c r="E86" s="149" t="s">
        <v>1349</v>
      </c>
      <c r="F86" t="s">
        <v>1021</v>
      </c>
      <c r="G86" t="s">
        <v>1311</v>
      </c>
    </row>
    <row r="87" spans="1:7" x14ac:dyDescent="0.25">
      <c r="A87">
        <v>1769</v>
      </c>
      <c r="B87">
        <v>2022</v>
      </c>
      <c r="C87" t="s">
        <v>1300</v>
      </c>
      <c r="D87" t="s">
        <v>306</v>
      </c>
      <c r="E87" t="s">
        <v>1361</v>
      </c>
      <c r="F87" t="s">
        <v>1022</v>
      </c>
      <c r="G87" t="s">
        <v>1120</v>
      </c>
    </row>
    <row r="88" spans="1:7" x14ac:dyDescent="0.25">
      <c r="A88">
        <v>1767</v>
      </c>
      <c r="B88">
        <v>2022</v>
      </c>
      <c r="C88" t="s">
        <v>1300</v>
      </c>
      <c r="D88" t="s">
        <v>306</v>
      </c>
      <c r="E88" t="s">
        <v>1360</v>
      </c>
      <c r="F88" t="s">
        <v>1022</v>
      </c>
      <c r="G88" t="s">
        <v>1120</v>
      </c>
    </row>
    <row r="89" spans="1:7" x14ac:dyDescent="0.25">
      <c r="A89">
        <v>1751</v>
      </c>
      <c r="B89">
        <v>2022</v>
      </c>
      <c r="C89" t="s">
        <v>1300</v>
      </c>
      <c r="D89" t="s">
        <v>306</v>
      </c>
      <c r="E89" t="s">
        <v>1327</v>
      </c>
      <c r="F89" t="s">
        <v>1022</v>
      </c>
      <c r="G89" t="s">
        <v>1120</v>
      </c>
    </row>
    <row r="90" spans="1:7" x14ac:dyDescent="0.25">
      <c r="A90">
        <v>1762</v>
      </c>
      <c r="B90">
        <v>2022</v>
      </c>
      <c r="C90" t="s">
        <v>1300</v>
      </c>
      <c r="D90" t="s">
        <v>306</v>
      </c>
      <c r="E90" t="s">
        <v>1355</v>
      </c>
      <c r="F90" t="s">
        <v>1061</v>
      </c>
      <c r="G90" t="s">
        <v>1356</v>
      </c>
    </row>
    <row r="91" spans="1:7" x14ac:dyDescent="0.25">
      <c r="A91">
        <v>2010</v>
      </c>
      <c r="B91">
        <v>2022</v>
      </c>
      <c r="C91" t="s">
        <v>1300</v>
      </c>
      <c r="D91" t="s">
        <v>541</v>
      </c>
      <c r="E91" t="s">
        <v>1522</v>
      </c>
      <c r="F91" t="s">
        <v>1061</v>
      </c>
      <c r="G91" t="s">
        <v>1062</v>
      </c>
    </row>
    <row r="92" spans="1:7" x14ac:dyDescent="0.25">
      <c r="A92">
        <v>2008</v>
      </c>
      <c r="B92">
        <v>2022</v>
      </c>
      <c r="C92" t="s">
        <v>1300</v>
      </c>
      <c r="D92" t="s">
        <v>541</v>
      </c>
      <c r="E92" t="s">
        <v>1520</v>
      </c>
      <c r="F92" t="s">
        <v>1022</v>
      </c>
      <c r="G92" t="s">
        <v>1023</v>
      </c>
    </row>
    <row r="93" spans="1:7" x14ac:dyDescent="0.25">
      <c r="A93">
        <v>2006</v>
      </c>
      <c r="B93">
        <v>2022</v>
      </c>
      <c r="C93" t="s">
        <v>1300</v>
      </c>
      <c r="D93" t="s">
        <v>541</v>
      </c>
      <c r="E93" t="s">
        <v>1518</v>
      </c>
      <c r="F93" t="s">
        <v>1024</v>
      </c>
      <c r="G93" t="s">
        <v>172</v>
      </c>
    </row>
    <row r="94" spans="1:7" x14ac:dyDescent="0.25">
      <c r="A94">
        <v>2011</v>
      </c>
      <c r="B94">
        <v>2022</v>
      </c>
      <c r="C94" t="s">
        <v>1300</v>
      </c>
      <c r="D94" t="s">
        <v>541</v>
      </c>
      <c r="E94" t="s">
        <v>1523</v>
      </c>
      <c r="F94" t="s">
        <v>1022</v>
      </c>
      <c r="G94" t="s">
        <v>1306</v>
      </c>
    </row>
    <row r="95" spans="1:7" x14ac:dyDescent="0.25">
      <c r="A95">
        <v>2009</v>
      </c>
      <c r="B95">
        <v>2022</v>
      </c>
      <c r="C95" t="s">
        <v>1300</v>
      </c>
      <c r="D95" t="s">
        <v>541</v>
      </c>
      <c r="E95" t="s">
        <v>1521</v>
      </c>
      <c r="F95" t="s">
        <v>1022</v>
      </c>
      <c r="G95" t="s">
        <v>1306</v>
      </c>
    </row>
    <row r="96" spans="1:7" x14ac:dyDescent="0.25">
      <c r="A96">
        <v>2012</v>
      </c>
      <c r="B96">
        <v>2022</v>
      </c>
      <c r="C96" t="s">
        <v>1300</v>
      </c>
      <c r="D96" t="s">
        <v>541</v>
      </c>
      <c r="E96" t="s">
        <v>1515</v>
      </c>
      <c r="F96" t="s">
        <v>1038</v>
      </c>
      <c r="G96" t="s">
        <v>1307</v>
      </c>
    </row>
    <row r="97" spans="1:7" x14ac:dyDescent="0.25">
      <c r="A97">
        <v>2013</v>
      </c>
      <c r="B97">
        <v>2022</v>
      </c>
      <c r="C97" t="s">
        <v>1300</v>
      </c>
      <c r="D97" t="s">
        <v>541</v>
      </c>
      <c r="E97" t="s">
        <v>1516</v>
      </c>
      <c r="F97" t="s">
        <v>1021</v>
      </c>
      <c r="G97" t="s">
        <v>1311</v>
      </c>
    </row>
    <row r="98" spans="1:7" x14ac:dyDescent="0.25">
      <c r="A98">
        <v>2007</v>
      </c>
      <c r="B98">
        <v>2022</v>
      </c>
      <c r="C98" t="s">
        <v>1300</v>
      </c>
      <c r="D98" t="s">
        <v>541</v>
      </c>
      <c r="E98" t="s">
        <v>1519</v>
      </c>
      <c r="F98" t="s">
        <v>1021</v>
      </c>
      <c r="G98" t="s">
        <v>1311</v>
      </c>
    </row>
    <row r="99" spans="1:7" x14ac:dyDescent="0.25">
      <c r="A99">
        <v>2005</v>
      </c>
      <c r="B99">
        <v>2022</v>
      </c>
      <c r="C99" t="s">
        <v>1300</v>
      </c>
      <c r="D99" t="s">
        <v>541</v>
      </c>
      <c r="E99" t="s">
        <v>1517</v>
      </c>
      <c r="F99" t="s">
        <v>1022</v>
      </c>
      <c r="G99" t="s">
        <v>1120</v>
      </c>
    </row>
    <row r="100" spans="1:7" x14ac:dyDescent="0.25">
      <c r="A100">
        <v>1896</v>
      </c>
      <c r="B100">
        <v>2022</v>
      </c>
      <c r="C100" t="s">
        <v>1300</v>
      </c>
      <c r="D100" t="s">
        <v>380</v>
      </c>
      <c r="E100" t="s">
        <v>1443</v>
      </c>
      <c r="F100" t="s">
        <v>1024</v>
      </c>
      <c r="G100" t="s">
        <v>1911</v>
      </c>
    </row>
    <row r="101" spans="1:7" x14ac:dyDescent="0.25">
      <c r="A101">
        <v>1897</v>
      </c>
      <c r="B101">
        <v>2022</v>
      </c>
      <c r="C101" t="s">
        <v>1300</v>
      </c>
      <c r="D101" t="s">
        <v>380</v>
      </c>
      <c r="E101" t="s">
        <v>1444</v>
      </c>
      <c r="F101" t="s">
        <v>1022</v>
      </c>
      <c r="G101" t="s">
        <v>1023</v>
      </c>
    </row>
    <row r="102" spans="1:7" x14ac:dyDescent="0.25">
      <c r="A102">
        <v>1888</v>
      </c>
      <c r="B102">
        <v>2022</v>
      </c>
      <c r="C102" t="s">
        <v>1300</v>
      </c>
      <c r="D102" t="s">
        <v>380</v>
      </c>
      <c r="E102" t="s">
        <v>1430</v>
      </c>
      <c r="F102" t="s">
        <v>1022</v>
      </c>
      <c r="G102" t="s">
        <v>1023</v>
      </c>
    </row>
    <row r="103" spans="1:7" x14ac:dyDescent="0.25">
      <c r="A103">
        <v>1887</v>
      </c>
      <c r="B103">
        <v>2022</v>
      </c>
      <c r="C103" t="s">
        <v>1300</v>
      </c>
      <c r="D103" t="s">
        <v>380</v>
      </c>
      <c r="E103" t="s">
        <v>1429</v>
      </c>
      <c r="F103" t="s">
        <v>1022</v>
      </c>
      <c r="G103" t="s">
        <v>1023</v>
      </c>
    </row>
    <row r="104" spans="1:7" x14ac:dyDescent="0.25">
      <c r="A104">
        <v>1890</v>
      </c>
      <c r="B104">
        <v>2022</v>
      </c>
      <c r="C104" t="s">
        <v>1300</v>
      </c>
      <c r="D104" t="s">
        <v>380</v>
      </c>
      <c r="E104" t="s">
        <v>1440</v>
      </c>
      <c r="F104" t="s">
        <v>1038</v>
      </c>
      <c r="G104" t="s">
        <v>1307</v>
      </c>
    </row>
    <row r="105" spans="1:7" x14ac:dyDescent="0.25">
      <c r="A105">
        <v>1889</v>
      </c>
      <c r="B105">
        <v>2022</v>
      </c>
      <c r="C105" t="s">
        <v>1300</v>
      </c>
      <c r="D105" t="s">
        <v>380</v>
      </c>
      <c r="E105" t="s">
        <v>1439</v>
      </c>
      <c r="F105" t="s">
        <v>1038</v>
      </c>
      <c r="G105" t="s">
        <v>1307</v>
      </c>
    </row>
    <row r="106" spans="1:7" x14ac:dyDescent="0.25">
      <c r="A106">
        <v>1886</v>
      </c>
      <c r="B106">
        <v>2022</v>
      </c>
      <c r="C106" t="s">
        <v>1300</v>
      </c>
      <c r="D106" t="s">
        <v>380</v>
      </c>
      <c r="E106" t="s">
        <v>1438</v>
      </c>
      <c r="F106" t="s">
        <v>1022</v>
      </c>
      <c r="G106" t="s">
        <v>1120</v>
      </c>
    </row>
    <row r="107" spans="1:7" x14ac:dyDescent="0.25">
      <c r="A107">
        <v>1895</v>
      </c>
      <c r="B107">
        <v>2022</v>
      </c>
      <c r="C107" t="s">
        <v>1300</v>
      </c>
      <c r="D107" t="s">
        <v>380</v>
      </c>
      <c r="E107" t="s">
        <v>1442</v>
      </c>
      <c r="F107" t="s">
        <v>1061</v>
      </c>
      <c r="G107" t="s">
        <v>1356</v>
      </c>
    </row>
    <row r="108" spans="1:7" x14ac:dyDescent="0.25">
      <c r="A108">
        <v>1892</v>
      </c>
      <c r="B108">
        <v>2022</v>
      </c>
      <c r="C108" t="s">
        <v>1300</v>
      </c>
      <c r="D108" t="s">
        <v>380</v>
      </c>
      <c r="E108" t="s">
        <v>1441</v>
      </c>
      <c r="F108" t="s">
        <v>1061</v>
      </c>
      <c r="G108" t="s">
        <v>1356</v>
      </c>
    </row>
    <row r="109" spans="1:7" x14ac:dyDescent="0.25">
      <c r="A109">
        <v>1905</v>
      </c>
      <c r="B109">
        <v>2022</v>
      </c>
      <c r="C109" t="s">
        <v>1300</v>
      </c>
      <c r="D109" t="s">
        <v>391</v>
      </c>
      <c r="E109" t="s">
        <v>1448</v>
      </c>
      <c r="F109" t="s">
        <v>1024</v>
      </c>
      <c r="G109" t="s">
        <v>172</v>
      </c>
    </row>
    <row r="110" spans="1:7" x14ac:dyDescent="0.25">
      <c r="A110">
        <v>1904</v>
      </c>
      <c r="B110">
        <v>2022</v>
      </c>
      <c r="C110" t="s">
        <v>1300</v>
      </c>
      <c r="D110" t="s">
        <v>391</v>
      </c>
      <c r="E110" t="s">
        <v>1447</v>
      </c>
      <c r="F110" t="s">
        <v>1024</v>
      </c>
      <c r="G110" t="s">
        <v>172</v>
      </c>
    </row>
    <row r="111" spans="1:7" x14ac:dyDescent="0.25">
      <c r="A111">
        <v>1724</v>
      </c>
      <c r="B111">
        <v>2022</v>
      </c>
      <c r="C111" t="s">
        <v>1300</v>
      </c>
      <c r="D111" t="s">
        <v>409</v>
      </c>
      <c r="E111" t="s">
        <v>1323</v>
      </c>
      <c r="F111" t="s">
        <v>1041</v>
      </c>
      <c r="G111" t="s">
        <v>1042</v>
      </c>
    </row>
    <row r="112" spans="1:7" x14ac:dyDescent="0.25">
      <c r="A112">
        <v>1727</v>
      </c>
      <c r="B112">
        <v>2022</v>
      </c>
      <c r="C112" t="s">
        <v>1300</v>
      </c>
      <c r="D112" t="s">
        <v>409</v>
      </c>
      <c r="E112" t="s">
        <v>1325</v>
      </c>
      <c r="F112" t="s">
        <v>1024</v>
      </c>
      <c r="G112" t="s">
        <v>1911</v>
      </c>
    </row>
    <row r="113" spans="1:7" x14ac:dyDescent="0.25">
      <c r="A113">
        <v>1726</v>
      </c>
      <c r="B113">
        <v>2022</v>
      </c>
      <c r="C113" t="s">
        <v>1300</v>
      </c>
      <c r="D113" t="s">
        <v>409</v>
      </c>
      <c r="E113" t="s">
        <v>1326</v>
      </c>
      <c r="F113" t="s">
        <v>1022</v>
      </c>
      <c r="G113" t="s">
        <v>1023</v>
      </c>
    </row>
    <row r="114" spans="1:7" x14ac:dyDescent="0.25">
      <c r="A114">
        <v>1725</v>
      </c>
      <c r="B114">
        <v>2022</v>
      </c>
      <c r="C114" t="s">
        <v>1300</v>
      </c>
      <c r="D114" t="s">
        <v>409</v>
      </c>
      <c r="E114" t="s">
        <v>1324</v>
      </c>
      <c r="F114" t="s">
        <v>1024</v>
      </c>
      <c r="G114" t="s">
        <v>172</v>
      </c>
    </row>
    <row r="115" spans="1:7" x14ac:dyDescent="0.25">
      <c r="A115">
        <v>1954</v>
      </c>
      <c r="B115">
        <v>2022</v>
      </c>
      <c r="C115" t="s">
        <v>1300</v>
      </c>
      <c r="D115" t="s">
        <v>423</v>
      </c>
      <c r="E115" t="s">
        <v>1477</v>
      </c>
      <c r="F115" t="s">
        <v>1022</v>
      </c>
      <c r="G115" t="s">
        <v>1306</v>
      </c>
    </row>
    <row r="116" spans="1:7" x14ac:dyDescent="0.25">
      <c r="A116">
        <v>1957</v>
      </c>
      <c r="B116">
        <v>2022</v>
      </c>
      <c r="C116" t="s">
        <v>1300</v>
      </c>
      <c r="D116" t="s">
        <v>423</v>
      </c>
      <c r="E116" t="s">
        <v>1481</v>
      </c>
      <c r="F116" t="s">
        <v>1038</v>
      </c>
      <c r="G116" t="s">
        <v>1307</v>
      </c>
    </row>
    <row r="117" spans="1:7" x14ac:dyDescent="0.25">
      <c r="A117">
        <v>1955</v>
      </c>
      <c r="B117">
        <v>2022</v>
      </c>
      <c r="C117" t="s">
        <v>1300</v>
      </c>
      <c r="D117" t="s">
        <v>423</v>
      </c>
      <c r="E117" t="s">
        <v>1478</v>
      </c>
      <c r="F117" t="s">
        <v>1061</v>
      </c>
      <c r="G117" t="s">
        <v>1356</v>
      </c>
    </row>
    <row r="118" spans="1:7" x14ac:dyDescent="0.25">
      <c r="A118">
        <v>1996</v>
      </c>
      <c r="B118">
        <v>2022</v>
      </c>
      <c r="C118" t="s">
        <v>1300</v>
      </c>
      <c r="D118" t="s">
        <v>507</v>
      </c>
      <c r="E118" t="s">
        <v>1513</v>
      </c>
      <c r="F118" t="s">
        <v>1038</v>
      </c>
      <c r="G118" t="s">
        <v>1051</v>
      </c>
    </row>
    <row r="119" spans="1:7" x14ac:dyDescent="0.25">
      <c r="A119">
        <v>2002</v>
      </c>
      <c r="B119">
        <v>2022</v>
      </c>
      <c r="C119" t="s">
        <v>1300</v>
      </c>
      <c r="D119" t="s">
        <v>507</v>
      </c>
      <c r="E119" t="s">
        <v>1514</v>
      </c>
      <c r="F119" t="s">
        <v>1024</v>
      </c>
      <c r="G119" t="s">
        <v>172</v>
      </c>
    </row>
    <row r="120" spans="1:7" x14ac:dyDescent="0.25">
      <c r="A120">
        <v>1995</v>
      </c>
      <c r="B120">
        <v>2022</v>
      </c>
      <c r="C120" t="s">
        <v>1300</v>
      </c>
      <c r="D120" t="s">
        <v>507</v>
      </c>
      <c r="E120" t="s">
        <v>1512</v>
      </c>
      <c r="F120" t="s">
        <v>1024</v>
      </c>
      <c r="G120" t="s">
        <v>172</v>
      </c>
    </row>
    <row r="121" spans="1:7" x14ac:dyDescent="0.25">
      <c r="A121">
        <v>1994</v>
      </c>
      <c r="B121">
        <v>2022</v>
      </c>
      <c r="C121" t="s">
        <v>1300</v>
      </c>
      <c r="D121" t="s">
        <v>507</v>
      </c>
      <c r="E121" t="s">
        <v>1511</v>
      </c>
      <c r="F121" t="s">
        <v>1038</v>
      </c>
      <c r="G121" t="s">
        <v>1307</v>
      </c>
    </row>
    <row r="122" spans="1:7" x14ac:dyDescent="0.25">
      <c r="A122">
        <v>1813</v>
      </c>
      <c r="B122">
        <v>2022</v>
      </c>
      <c r="C122" t="s">
        <v>1300</v>
      </c>
      <c r="D122" t="s">
        <v>1150</v>
      </c>
      <c r="E122" t="s">
        <v>1386</v>
      </c>
      <c r="F122" t="s">
        <v>1021</v>
      </c>
      <c r="G122" t="s">
        <v>1237</v>
      </c>
    </row>
    <row r="123" spans="1:7" x14ac:dyDescent="0.25">
      <c r="A123">
        <v>1809</v>
      </c>
      <c r="B123">
        <v>2022</v>
      </c>
      <c r="C123" t="s">
        <v>1300</v>
      </c>
      <c r="D123" t="s">
        <v>1150</v>
      </c>
      <c r="E123" t="s">
        <v>1387</v>
      </c>
      <c r="F123" t="s">
        <v>1022</v>
      </c>
      <c r="G123" t="s">
        <v>1306</v>
      </c>
    </row>
    <row r="124" spans="1:7" x14ac:dyDescent="0.25">
      <c r="A124">
        <v>1812</v>
      </c>
      <c r="B124">
        <v>2022</v>
      </c>
      <c r="C124" t="s">
        <v>1300</v>
      </c>
      <c r="D124" t="s">
        <v>1150</v>
      </c>
      <c r="E124" t="s">
        <v>1385</v>
      </c>
      <c r="F124" t="s">
        <v>1021</v>
      </c>
      <c r="G124" t="s">
        <v>1311</v>
      </c>
    </row>
    <row r="125" spans="1:7" x14ac:dyDescent="0.25">
      <c r="A125">
        <v>1811</v>
      </c>
      <c r="B125">
        <v>2022</v>
      </c>
      <c r="C125" t="s">
        <v>1300</v>
      </c>
      <c r="D125" t="s">
        <v>1150</v>
      </c>
      <c r="E125" t="s">
        <v>1389</v>
      </c>
      <c r="F125" t="s">
        <v>1021</v>
      </c>
      <c r="G125" t="s">
        <v>1311</v>
      </c>
    </row>
    <row r="126" spans="1:7" x14ac:dyDescent="0.25">
      <c r="A126">
        <v>1810</v>
      </c>
      <c r="B126">
        <v>2022</v>
      </c>
      <c r="C126" t="s">
        <v>1300</v>
      </c>
      <c r="D126" t="s">
        <v>1150</v>
      </c>
      <c r="E126" t="s">
        <v>1388</v>
      </c>
      <c r="F126" t="s">
        <v>1061</v>
      </c>
      <c r="G126" t="s">
        <v>1356</v>
      </c>
    </row>
    <row r="127" spans="1:7" x14ac:dyDescent="0.25">
      <c r="A127">
        <v>1966</v>
      </c>
      <c r="B127">
        <v>2022</v>
      </c>
      <c r="C127" t="s">
        <v>1300</v>
      </c>
      <c r="D127" t="s">
        <v>455</v>
      </c>
      <c r="E127" t="s">
        <v>1489</v>
      </c>
      <c r="F127" t="s">
        <v>1061</v>
      </c>
      <c r="G127" t="s">
        <v>1062</v>
      </c>
    </row>
    <row r="128" spans="1:7" x14ac:dyDescent="0.25">
      <c r="A128">
        <v>1970</v>
      </c>
      <c r="B128">
        <v>2022</v>
      </c>
      <c r="C128" t="s">
        <v>1300</v>
      </c>
      <c r="D128" t="s">
        <v>455</v>
      </c>
      <c r="E128" t="s">
        <v>1492</v>
      </c>
      <c r="F128" t="s">
        <v>1024</v>
      </c>
      <c r="G128" t="s">
        <v>1911</v>
      </c>
    </row>
    <row r="129" spans="1:7" x14ac:dyDescent="0.25">
      <c r="A129">
        <v>1971</v>
      </c>
      <c r="B129">
        <v>2022</v>
      </c>
      <c r="C129" t="s">
        <v>1300</v>
      </c>
      <c r="D129" t="s">
        <v>455</v>
      </c>
      <c r="E129" t="s">
        <v>1493</v>
      </c>
      <c r="F129" t="s">
        <v>1038</v>
      </c>
      <c r="G129" t="s">
        <v>1307</v>
      </c>
    </row>
    <row r="130" spans="1:7" x14ac:dyDescent="0.25">
      <c r="A130">
        <v>1972</v>
      </c>
      <c r="B130">
        <v>2022</v>
      </c>
      <c r="C130" t="s">
        <v>1300</v>
      </c>
      <c r="D130" t="s">
        <v>455</v>
      </c>
      <c r="E130" t="s">
        <v>1494</v>
      </c>
      <c r="F130" t="s">
        <v>1061</v>
      </c>
      <c r="G130" t="s">
        <v>1356</v>
      </c>
    </row>
    <row r="131" spans="1:7" x14ac:dyDescent="0.25">
      <c r="A131">
        <v>1969</v>
      </c>
      <c r="B131">
        <v>2022</v>
      </c>
      <c r="C131" t="s">
        <v>1300</v>
      </c>
      <c r="D131" t="s">
        <v>455</v>
      </c>
      <c r="E131" t="s">
        <v>1491</v>
      </c>
      <c r="F131" t="s">
        <v>1061</v>
      </c>
      <c r="G131" t="s">
        <v>1356</v>
      </c>
    </row>
    <row r="132" spans="1:7" x14ac:dyDescent="0.25">
      <c r="A132">
        <v>1968</v>
      </c>
      <c r="B132">
        <v>2022</v>
      </c>
      <c r="C132" t="s">
        <v>1300</v>
      </c>
      <c r="D132" t="s">
        <v>455</v>
      </c>
      <c r="E132" t="s">
        <v>1490</v>
      </c>
      <c r="F132" t="s">
        <v>1061</v>
      </c>
      <c r="G132" t="s">
        <v>1356</v>
      </c>
    </row>
    <row r="133" spans="1:7" x14ac:dyDescent="0.25">
      <c r="A133">
        <v>1929</v>
      </c>
      <c r="B133">
        <v>2022</v>
      </c>
      <c r="C133" t="s">
        <v>1300</v>
      </c>
      <c r="D133" t="s">
        <v>481</v>
      </c>
      <c r="E133" t="s">
        <v>1458</v>
      </c>
      <c r="F133" t="s">
        <v>1061</v>
      </c>
      <c r="G133" t="s">
        <v>1062</v>
      </c>
    </row>
    <row r="134" spans="1:7" x14ac:dyDescent="0.25">
      <c r="A134">
        <v>1928</v>
      </c>
      <c r="B134">
        <v>2022</v>
      </c>
      <c r="C134" t="s">
        <v>1300</v>
      </c>
      <c r="D134" t="s">
        <v>481</v>
      </c>
      <c r="E134" t="s">
        <v>1457</v>
      </c>
      <c r="F134" t="s">
        <v>1061</v>
      </c>
      <c r="G134" t="s">
        <v>1062</v>
      </c>
    </row>
    <row r="135" spans="1:7" x14ac:dyDescent="0.25">
      <c r="A135">
        <v>1927</v>
      </c>
      <c r="B135">
        <v>2022</v>
      </c>
      <c r="C135" t="s">
        <v>1300</v>
      </c>
      <c r="D135" t="s">
        <v>481</v>
      </c>
      <c r="E135" t="s">
        <v>1456</v>
      </c>
      <c r="F135" t="s">
        <v>1061</v>
      </c>
      <c r="G135" t="s">
        <v>1062</v>
      </c>
    </row>
    <row r="136" spans="1:7" x14ac:dyDescent="0.25">
      <c r="A136">
        <v>1926</v>
      </c>
      <c r="B136">
        <v>2022</v>
      </c>
      <c r="C136" t="s">
        <v>1300</v>
      </c>
      <c r="D136" t="s">
        <v>481</v>
      </c>
      <c r="E136" t="s">
        <v>1455</v>
      </c>
      <c r="F136" t="s">
        <v>1038</v>
      </c>
      <c r="G136" t="s">
        <v>1307</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309"/>
  <sheetViews>
    <sheetView workbookViewId="0">
      <selection activeCell="I37" sqref="I37"/>
    </sheetView>
  </sheetViews>
  <sheetFormatPr baseColWidth="10" defaultColWidth="11.42578125" defaultRowHeight="15" x14ac:dyDescent="0.25"/>
  <cols>
    <col min="6" max="6" width="16.5703125" customWidth="1"/>
    <col min="7" max="7" width="20.140625" customWidth="1"/>
  </cols>
  <sheetData>
    <row r="1" spans="1:7" x14ac:dyDescent="0.25">
      <c r="A1" t="s">
        <v>0</v>
      </c>
      <c r="B1" t="s">
        <v>1</v>
      </c>
      <c r="C1" t="s">
        <v>2</v>
      </c>
      <c r="D1" t="s">
        <v>3</v>
      </c>
      <c r="E1" t="s">
        <v>4</v>
      </c>
      <c r="F1" t="s">
        <v>5</v>
      </c>
      <c r="G1" t="s">
        <v>6</v>
      </c>
    </row>
    <row r="2" spans="1:7" x14ac:dyDescent="0.25">
      <c r="A2">
        <v>10</v>
      </c>
      <c r="B2">
        <v>2022</v>
      </c>
      <c r="C2" t="s">
        <v>7</v>
      </c>
      <c r="D2" t="s">
        <v>8</v>
      </c>
      <c r="E2" t="s">
        <v>19</v>
      </c>
      <c r="F2" t="s">
        <v>1837</v>
      </c>
      <c r="G2" t="s">
        <v>20</v>
      </c>
    </row>
    <row r="3" spans="1:7" x14ac:dyDescent="0.25">
      <c r="A3">
        <v>16</v>
      </c>
      <c r="B3">
        <v>2022</v>
      </c>
      <c r="C3" t="s">
        <v>7</v>
      </c>
      <c r="D3" t="s">
        <v>8</v>
      </c>
      <c r="E3" t="s">
        <v>28</v>
      </c>
      <c r="F3" t="s">
        <v>11</v>
      </c>
      <c r="G3" t="s">
        <v>1639</v>
      </c>
    </row>
    <row r="4" spans="1:7" x14ac:dyDescent="0.25">
      <c r="A4">
        <v>15</v>
      </c>
      <c r="B4">
        <v>2022</v>
      </c>
      <c r="C4" t="s">
        <v>7</v>
      </c>
      <c r="D4" t="s">
        <v>8</v>
      </c>
      <c r="E4" t="s">
        <v>27</v>
      </c>
      <c r="F4" t="s">
        <v>11</v>
      </c>
      <c r="G4" t="s">
        <v>1656</v>
      </c>
    </row>
    <row r="5" spans="1:7" x14ac:dyDescent="0.25">
      <c r="A5">
        <v>14</v>
      </c>
      <c r="B5">
        <v>2022</v>
      </c>
      <c r="C5" t="s">
        <v>7</v>
      </c>
      <c r="D5" t="s">
        <v>8</v>
      </c>
      <c r="E5" t="s">
        <v>25</v>
      </c>
      <c r="F5" t="s">
        <v>9</v>
      </c>
      <c r="G5" t="s">
        <v>26</v>
      </c>
    </row>
    <row r="6" spans="1:7" x14ac:dyDescent="0.25">
      <c r="A6">
        <v>17</v>
      </c>
      <c r="B6">
        <v>2022</v>
      </c>
      <c r="C6" t="s">
        <v>7</v>
      </c>
      <c r="D6" t="s">
        <v>8</v>
      </c>
      <c r="E6" t="s">
        <v>29</v>
      </c>
      <c r="F6" t="s">
        <v>16</v>
      </c>
      <c r="G6" t="s">
        <v>17</v>
      </c>
    </row>
    <row r="7" spans="1:7" x14ac:dyDescent="0.25">
      <c r="A7">
        <v>11</v>
      </c>
      <c r="B7">
        <v>2022</v>
      </c>
      <c r="C7" t="s">
        <v>7</v>
      </c>
      <c r="D7" t="s">
        <v>8</v>
      </c>
      <c r="E7" t="s">
        <v>21</v>
      </c>
      <c r="F7" t="s">
        <v>1837</v>
      </c>
      <c r="G7" t="s">
        <v>22</v>
      </c>
    </row>
    <row r="8" spans="1:7" x14ac:dyDescent="0.25">
      <c r="A8">
        <v>12</v>
      </c>
      <c r="B8">
        <v>2022</v>
      </c>
      <c r="C8" t="s">
        <v>7</v>
      </c>
      <c r="D8" t="s">
        <v>8</v>
      </c>
      <c r="E8" t="s">
        <v>31</v>
      </c>
      <c r="F8" t="s">
        <v>1837</v>
      </c>
      <c r="G8" t="s">
        <v>22</v>
      </c>
    </row>
    <row r="9" spans="1:7" x14ac:dyDescent="0.25">
      <c r="A9">
        <v>13</v>
      </c>
      <c r="B9">
        <v>2022</v>
      </c>
      <c r="C9" t="s">
        <v>7</v>
      </c>
      <c r="D9" t="s">
        <v>8</v>
      </c>
      <c r="E9" t="s">
        <v>24</v>
      </c>
      <c r="F9" t="s">
        <v>1837</v>
      </c>
      <c r="G9" t="s">
        <v>22</v>
      </c>
    </row>
    <row r="10" spans="1:7" x14ac:dyDescent="0.25">
      <c r="A10">
        <v>34</v>
      </c>
      <c r="B10">
        <v>2022</v>
      </c>
      <c r="C10" t="s">
        <v>7</v>
      </c>
      <c r="D10" t="s">
        <v>34</v>
      </c>
      <c r="E10" t="s">
        <v>38</v>
      </c>
      <c r="F10" t="s">
        <v>1837</v>
      </c>
      <c r="G10" t="s">
        <v>20</v>
      </c>
    </row>
    <row r="11" spans="1:7" x14ac:dyDescent="0.25">
      <c r="A11">
        <v>38</v>
      </c>
      <c r="B11">
        <v>2022</v>
      </c>
      <c r="C11" t="s">
        <v>7</v>
      </c>
      <c r="D11" t="s">
        <v>34</v>
      </c>
      <c r="E11" t="s">
        <v>54</v>
      </c>
      <c r="F11" t="s">
        <v>1837</v>
      </c>
      <c r="G11" t="s">
        <v>14</v>
      </c>
    </row>
    <row r="12" spans="1:7" x14ac:dyDescent="0.25">
      <c r="A12">
        <v>41</v>
      </c>
      <c r="B12">
        <v>2022</v>
      </c>
      <c r="C12" t="s">
        <v>7</v>
      </c>
      <c r="D12" t="s">
        <v>34</v>
      </c>
      <c r="E12" t="s">
        <v>51</v>
      </c>
      <c r="F12" t="s">
        <v>1837</v>
      </c>
      <c r="G12" t="s">
        <v>14</v>
      </c>
    </row>
    <row r="13" spans="1:7" x14ac:dyDescent="0.25">
      <c r="A13">
        <v>35</v>
      </c>
      <c r="B13">
        <v>2022</v>
      </c>
      <c r="C13" t="s">
        <v>7</v>
      </c>
      <c r="D13" t="s">
        <v>34</v>
      </c>
      <c r="E13" t="s">
        <v>39</v>
      </c>
      <c r="F13" t="s">
        <v>12</v>
      </c>
      <c r="G13" t="s">
        <v>40</v>
      </c>
    </row>
    <row r="14" spans="1:7" x14ac:dyDescent="0.25">
      <c r="A14">
        <v>33</v>
      </c>
      <c r="B14">
        <v>2022</v>
      </c>
      <c r="C14" t="s">
        <v>7</v>
      </c>
      <c r="D14" t="s">
        <v>34</v>
      </c>
      <c r="E14" t="s">
        <v>37</v>
      </c>
      <c r="F14" t="s">
        <v>12</v>
      </c>
      <c r="G14" t="s">
        <v>13</v>
      </c>
    </row>
    <row r="15" spans="1:7" x14ac:dyDescent="0.25">
      <c r="A15">
        <v>39</v>
      </c>
      <c r="B15">
        <v>2022</v>
      </c>
      <c r="C15" t="s">
        <v>7</v>
      </c>
      <c r="D15" t="s">
        <v>34</v>
      </c>
      <c r="E15" t="s">
        <v>49</v>
      </c>
      <c r="F15" t="s">
        <v>12</v>
      </c>
      <c r="G15" t="s">
        <v>13</v>
      </c>
    </row>
    <row r="16" spans="1:7" x14ac:dyDescent="0.25">
      <c r="A16">
        <v>31</v>
      </c>
      <c r="B16">
        <v>2022</v>
      </c>
      <c r="C16" t="s">
        <v>7</v>
      </c>
      <c r="D16" t="s">
        <v>34</v>
      </c>
      <c r="E16" t="s">
        <v>44</v>
      </c>
      <c r="F16" t="s">
        <v>11</v>
      </c>
      <c r="G16" t="s">
        <v>45</v>
      </c>
    </row>
    <row r="17" spans="1:7" x14ac:dyDescent="0.25">
      <c r="A17">
        <v>37</v>
      </c>
      <c r="B17">
        <v>2022</v>
      </c>
      <c r="C17" t="s">
        <v>7</v>
      </c>
      <c r="D17" t="s">
        <v>34</v>
      </c>
      <c r="E17" t="s">
        <v>47</v>
      </c>
      <c r="F17" t="s">
        <v>42</v>
      </c>
      <c r="G17" t="s">
        <v>43</v>
      </c>
    </row>
    <row r="18" spans="1:7" x14ac:dyDescent="0.25">
      <c r="A18">
        <v>32</v>
      </c>
      <c r="B18">
        <v>2022</v>
      </c>
      <c r="C18" t="s">
        <v>7</v>
      </c>
      <c r="D18" t="s">
        <v>34</v>
      </c>
      <c r="E18" t="s">
        <v>36</v>
      </c>
      <c r="F18" t="s">
        <v>9</v>
      </c>
      <c r="G18" t="s">
        <v>33</v>
      </c>
    </row>
    <row r="19" spans="1:7" x14ac:dyDescent="0.25">
      <c r="A19">
        <v>36</v>
      </c>
      <c r="B19">
        <v>2022</v>
      </c>
      <c r="C19" t="s">
        <v>7</v>
      </c>
      <c r="D19" t="s">
        <v>34</v>
      </c>
      <c r="E19" t="s">
        <v>46</v>
      </c>
      <c r="F19" t="s">
        <v>1837</v>
      </c>
      <c r="G19" t="s">
        <v>22</v>
      </c>
    </row>
    <row r="20" spans="1:7" x14ac:dyDescent="0.25">
      <c r="A20">
        <v>40</v>
      </c>
      <c r="B20">
        <v>2022</v>
      </c>
      <c r="C20" t="s">
        <v>7</v>
      </c>
      <c r="D20" t="s">
        <v>34</v>
      </c>
      <c r="E20" t="s">
        <v>50</v>
      </c>
      <c r="F20" t="s">
        <v>9</v>
      </c>
      <c r="G20" t="s">
        <v>18</v>
      </c>
    </row>
    <row r="21" spans="1:7" x14ac:dyDescent="0.25">
      <c r="A21">
        <v>42</v>
      </c>
      <c r="B21">
        <v>2022</v>
      </c>
      <c r="C21" t="s">
        <v>7</v>
      </c>
      <c r="D21" t="s">
        <v>34</v>
      </c>
      <c r="E21" t="s">
        <v>55</v>
      </c>
      <c r="F21" t="s">
        <v>9</v>
      </c>
      <c r="G21" t="s">
        <v>18</v>
      </c>
    </row>
    <row r="22" spans="1:7" x14ac:dyDescent="0.25">
      <c r="A22">
        <v>52</v>
      </c>
      <c r="B22">
        <v>2022</v>
      </c>
      <c r="C22" t="s">
        <v>7</v>
      </c>
      <c r="D22" t="s">
        <v>61</v>
      </c>
      <c r="E22" t="s">
        <v>64</v>
      </c>
      <c r="F22" t="s">
        <v>1837</v>
      </c>
      <c r="G22" t="s">
        <v>14</v>
      </c>
    </row>
    <row r="23" spans="1:7" x14ac:dyDescent="0.25">
      <c r="A23">
        <v>51</v>
      </c>
      <c r="B23">
        <v>2022</v>
      </c>
      <c r="C23" t="s">
        <v>7</v>
      </c>
      <c r="D23" t="s">
        <v>61</v>
      </c>
      <c r="E23" t="s">
        <v>63</v>
      </c>
      <c r="F23" t="s">
        <v>9</v>
      </c>
      <c r="G23" t="s">
        <v>1910</v>
      </c>
    </row>
    <row r="24" spans="1:7" x14ac:dyDescent="0.25">
      <c r="A24">
        <v>49</v>
      </c>
      <c r="B24">
        <v>2022</v>
      </c>
      <c r="C24" t="s">
        <v>7</v>
      </c>
      <c r="D24" t="s">
        <v>61</v>
      </c>
      <c r="E24" t="s">
        <v>1838</v>
      </c>
      <c r="F24" t="s">
        <v>1837</v>
      </c>
      <c r="G24" t="s">
        <v>62</v>
      </c>
    </row>
    <row r="25" spans="1:7" x14ac:dyDescent="0.25">
      <c r="A25">
        <v>54</v>
      </c>
      <c r="B25">
        <v>2022</v>
      </c>
      <c r="C25" t="s">
        <v>7</v>
      </c>
      <c r="D25" t="s">
        <v>61</v>
      </c>
      <c r="E25" t="s">
        <v>66</v>
      </c>
      <c r="F25" t="s">
        <v>11</v>
      </c>
      <c r="G25" t="s">
        <v>58</v>
      </c>
    </row>
    <row r="26" spans="1:7" x14ac:dyDescent="0.25">
      <c r="A26">
        <v>55</v>
      </c>
      <c r="B26">
        <v>2022</v>
      </c>
      <c r="C26" t="s">
        <v>7</v>
      </c>
      <c r="D26" t="s">
        <v>61</v>
      </c>
      <c r="E26" t="s">
        <v>67</v>
      </c>
      <c r="F26" t="s">
        <v>1837</v>
      </c>
      <c r="G26" t="s">
        <v>68</v>
      </c>
    </row>
    <row r="27" spans="1:7" x14ac:dyDescent="0.25">
      <c r="A27">
        <v>50</v>
      </c>
      <c r="B27">
        <v>2022</v>
      </c>
      <c r="C27" t="s">
        <v>7</v>
      </c>
      <c r="D27" t="s">
        <v>61</v>
      </c>
      <c r="E27" t="s">
        <v>1839</v>
      </c>
      <c r="F27" t="s">
        <v>1837</v>
      </c>
      <c r="G27" t="s">
        <v>22</v>
      </c>
    </row>
    <row r="28" spans="1:7" x14ac:dyDescent="0.25">
      <c r="A28">
        <v>53</v>
      </c>
      <c r="B28">
        <v>2022</v>
      </c>
      <c r="C28" t="s">
        <v>7</v>
      </c>
      <c r="D28" t="s">
        <v>61</v>
      </c>
      <c r="E28" t="s">
        <v>65</v>
      </c>
      <c r="F28" t="s">
        <v>1837</v>
      </c>
      <c r="G28" t="s">
        <v>22</v>
      </c>
    </row>
    <row r="29" spans="1:7" x14ac:dyDescent="0.25">
      <c r="A29">
        <v>90</v>
      </c>
      <c r="B29">
        <v>2022</v>
      </c>
      <c r="C29" t="s">
        <v>7</v>
      </c>
      <c r="D29" t="s">
        <v>89</v>
      </c>
      <c r="E29" t="s">
        <v>97</v>
      </c>
      <c r="F29" t="s">
        <v>9</v>
      </c>
      <c r="G29" t="s">
        <v>10</v>
      </c>
    </row>
    <row r="30" spans="1:7" x14ac:dyDescent="0.25">
      <c r="A30">
        <v>89</v>
      </c>
      <c r="B30">
        <v>2022</v>
      </c>
      <c r="C30" t="s">
        <v>7</v>
      </c>
      <c r="D30" t="s">
        <v>89</v>
      </c>
      <c r="E30" t="s">
        <v>101</v>
      </c>
      <c r="F30" t="s">
        <v>11</v>
      </c>
      <c r="G30" t="s">
        <v>58</v>
      </c>
    </row>
    <row r="31" spans="1:7" x14ac:dyDescent="0.25">
      <c r="A31">
        <v>83</v>
      </c>
      <c r="B31">
        <v>2022</v>
      </c>
      <c r="C31" t="s">
        <v>7</v>
      </c>
      <c r="D31" t="s">
        <v>89</v>
      </c>
      <c r="E31" t="s">
        <v>99</v>
      </c>
      <c r="F31" t="s">
        <v>42</v>
      </c>
      <c r="G31" t="s">
        <v>43</v>
      </c>
    </row>
    <row r="32" spans="1:7" x14ac:dyDescent="0.25">
      <c r="A32">
        <v>85</v>
      </c>
      <c r="B32">
        <v>2022</v>
      </c>
      <c r="C32" t="s">
        <v>7</v>
      </c>
      <c r="D32" t="s">
        <v>89</v>
      </c>
      <c r="E32" t="s">
        <v>100</v>
      </c>
      <c r="F32" t="s">
        <v>12</v>
      </c>
      <c r="G32" t="s">
        <v>32</v>
      </c>
    </row>
    <row r="33" spans="1:7" x14ac:dyDescent="0.25">
      <c r="A33">
        <v>84</v>
      </c>
      <c r="B33">
        <v>2022</v>
      </c>
      <c r="C33" t="s">
        <v>7</v>
      </c>
      <c r="D33" t="s">
        <v>89</v>
      </c>
      <c r="E33" t="s">
        <v>90</v>
      </c>
      <c r="F33" t="s">
        <v>9</v>
      </c>
      <c r="G33" t="s">
        <v>33</v>
      </c>
    </row>
    <row r="34" spans="1:7" x14ac:dyDescent="0.25">
      <c r="A34">
        <v>86</v>
      </c>
      <c r="B34">
        <v>2022</v>
      </c>
      <c r="C34" t="s">
        <v>7</v>
      </c>
      <c r="D34" t="s">
        <v>89</v>
      </c>
      <c r="E34" t="s">
        <v>92</v>
      </c>
      <c r="F34" t="s">
        <v>12</v>
      </c>
      <c r="G34" t="s">
        <v>93</v>
      </c>
    </row>
    <row r="35" spans="1:7" x14ac:dyDescent="0.25">
      <c r="A35">
        <v>124</v>
      </c>
      <c r="B35">
        <v>2022</v>
      </c>
      <c r="C35" t="s">
        <v>7</v>
      </c>
      <c r="D35" t="s">
        <v>102</v>
      </c>
      <c r="E35" t="s">
        <v>118</v>
      </c>
      <c r="F35" t="s">
        <v>1837</v>
      </c>
      <c r="G35" t="s">
        <v>14</v>
      </c>
    </row>
    <row r="36" spans="1:7" x14ac:dyDescent="0.25">
      <c r="A36">
        <v>118</v>
      </c>
      <c r="B36">
        <v>2022</v>
      </c>
      <c r="C36" t="s">
        <v>7</v>
      </c>
      <c r="D36" t="s">
        <v>102</v>
      </c>
      <c r="E36" t="s">
        <v>112</v>
      </c>
      <c r="F36" t="s">
        <v>104</v>
      </c>
      <c r="G36" t="s">
        <v>105</v>
      </c>
    </row>
    <row r="37" spans="1:7" x14ac:dyDescent="0.25">
      <c r="A37">
        <v>119</v>
      </c>
      <c r="B37">
        <v>2022</v>
      </c>
      <c r="C37" t="s">
        <v>7</v>
      </c>
      <c r="D37" t="s">
        <v>102</v>
      </c>
      <c r="E37" t="s">
        <v>113</v>
      </c>
      <c r="F37" t="s">
        <v>9</v>
      </c>
      <c r="G37" t="s">
        <v>1910</v>
      </c>
    </row>
    <row r="38" spans="1:7" x14ac:dyDescent="0.25">
      <c r="A38">
        <v>137</v>
      </c>
      <c r="B38">
        <v>2022</v>
      </c>
      <c r="C38" t="s">
        <v>7</v>
      </c>
      <c r="D38" t="s">
        <v>102</v>
      </c>
      <c r="E38" t="s">
        <v>137</v>
      </c>
      <c r="F38" t="s">
        <v>1837</v>
      </c>
      <c r="G38" t="s">
        <v>138</v>
      </c>
    </row>
    <row r="39" spans="1:7" x14ac:dyDescent="0.25">
      <c r="A39">
        <v>121</v>
      </c>
      <c r="B39">
        <v>2022</v>
      </c>
      <c r="C39" t="s">
        <v>7</v>
      </c>
      <c r="D39" t="s">
        <v>102</v>
      </c>
      <c r="E39" t="s">
        <v>115</v>
      </c>
      <c r="F39" t="s">
        <v>1837</v>
      </c>
      <c r="G39" t="s">
        <v>62</v>
      </c>
    </row>
    <row r="40" spans="1:7" x14ac:dyDescent="0.25">
      <c r="A40">
        <v>131</v>
      </c>
      <c r="B40">
        <v>2022</v>
      </c>
      <c r="C40" t="s">
        <v>7</v>
      </c>
      <c r="D40" t="s">
        <v>102</v>
      </c>
      <c r="E40" t="s">
        <v>132</v>
      </c>
      <c r="F40" t="s">
        <v>9</v>
      </c>
      <c r="G40" t="s">
        <v>26</v>
      </c>
    </row>
    <row r="41" spans="1:7" x14ac:dyDescent="0.25">
      <c r="A41">
        <v>127</v>
      </c>
      <c r="B41">
        <v>2022</v>
      </c>
      <c r="C41" t="s">
        <v>7</v>
      </c>
      <c r="D41" t="s">
        <v>102</v>
      </c>
      <c r="E41" t="s">
        <v>121</v>
      </c>
      <c r="F41" t="s">
        <v>12</v>
      </c>
      <c r="G41" t="s">
        <v>40</v>
      </c>
    </row>
    <row r="42" spans="1:7" x14ac:dyDescent="0.25">
      <c r="A42">
        <v>125</v>
      </c>
      <c r="B42">
        <v>2022</v>
      </c>
      <c r="C42" t="s">
        <v>7</v>
      </c>
      <c r="D42" t="s">
        <v>102</v>
      </c>
      <c r="E42" t="s">
        <v>119</v>
      </c>
      <c r="F42" t="s">
        <v>1837</v>
      </c>
      <c r="G42" t="s">
        <v>71</v>
      </c>
    </row>
    <row r="43" spans="1:7" x14ac:dyDescent="0.25">
      <c r="A43">
        <v>129</v>
      </c>
      <c r="B43">
        <v>2022</v>
      </c>
      <c r="C43" t="s">
        <v>7</v>
      </c>
      <c r="D43" t="s">
        <v>102</v>
      </c>
      <c r="E43" t="s">
        <v>130</v>
      </c>
      <c r="F43" t="s">
        <v>1837</v>
      </c>
      <c r="G43" t="s">
        <v>71</v>
      </c>
    </row>
    <row r="44" spans="1:7" x14ac:dyDescent="0.25">
      <c r="A44">
        <v>114</v>
      </c>
      <c r="B44">
        <v>2022</v>
      </c>
      <c r="C44" t="s">
        <v>7</v>
      </c>
      <c r="D44" t="s">
        <v>102</v>
      </c>
      <c r="E44" t="s">
        <v>128</v>
      </c>
      <c r="F44" t="s">
        <v>12</v>
      </c>
      <c r="G44" t="s">
        <v>13</v>
      </c>
    </row>
    <row r="45" spans="1:7" x14ac:dyDescent="0.25">
      <c r="A45">
        <v>122</v>
      </c>
      <c r="B45">
        <v>2022</v>
      </c>
      <c r="C45" t="s">
        <v>7</v>
      </c>
      <c r="D45" t="s">
        <v>102</v>
      </c>
      <c r="E45" t="s">
        <v>116</v>
      </c>
      <c r="F45" t="s">
        <v>1837</v>
      </c>
      <c r="G45" t="s">
        <v>70</v>
      </c>
    </row>
    <row r="46" spans="1:7" x14ac:dyDescent="0.25">
      <c r="A46">
        <v>130</v>
      </c>
      <c r="B46">
        <v>2022</v>
      </c>
      <c r="C46" t="s">
        <v>7</v>
      </c>
      <c r="D46" t="s">
        <v>102</v>
      </c>
      <c r="E46" t="s">
        <v>131</v>
      </c>
      <c r="F46" t="s">
        <v>12</v>
      </c>
      <c r="G46" t="s">
        <v>1573</v>
      </c>
    </row>
    <row r="47" spans="1:7" x14ac:dyDescent="0.25">
      <c r="A47">
        <v>126</v>
      </c>
      <c r="B47">
        <v>2022</v>
      </c>
      <c r="C47" t="s">
        <v>7</v>
      </c>
      <c r="D47" t="s">
        <v>102</v>
      </c>
      <c r="E47" t="s">
        <v>129</v>
      </c>
      <c r="F47" t="s">
        <v>11</v>
      </c>
      <c r="G47" t="s">
        <v>58</v>
      </c>
    </row>
    <row r="48" spans="1:7" x14ac:dyDescent="0.25">
      <c r="A48">
        <v>136</v>
      </c>
      <c r="B48">
        <v>2022</v>
      </c>
      <c r="C48" t="s">
        <v>7</v>
      </c>
      <c r="D48" t="s">
        <v>102</v>
      </c>
      <c r="E48" t="s">
        <v>136</v>
      </c>
      <c r="F48" t="s">
        <v>11</v>
      </c>
      <c r="G48" t="s">
        <v>58</v>
      </c>
    </row>
    <row r="49" spans="1:7" x14ac:dyDescent="0.25">
      <c r="A49">
        <v>116</v>
      </c>
      <c r="B49">
        <v>2022</v>
      </c>
      <c r="C49" t="s">
        <v>7</v>
      </c>
      <c r="D49" t="s">
        <v>102</v>
      </c>
      <c r="E49" t="s">
        <v>110</v>
      </c>
      <c r="F49" t="s">
        <v>1837</v>
      </c>
      <c r="G49" t="s">
        <v>107</v>
      </c>
    </row>
    <row r="50" spans="1:7" x14ac:dyDescent="0.25">
      <c r="A50">
        <v>132</v>
      </c>
      <c r="B50">
        <v>2022</v>
      </c>
      <c r="C50" t="s">
        <v>7</v>
      </c>
      <c r="D50" t="s">
        <v>102</v>
      </c>
      <c r="E50" t="s">
        <v>133</v>
      </c>
      <c r="F50" t="s">
        <v>12</v>
      </c>
      <c r="G50" t="s">
        <v>35</v>
      </c>
    </row>
    <row r="51" spans="1:7" x14ac:dyDescent="0.25">
      <c r="A51">
        <v>115</v>
      </c>
      <c r="B51">
        <v>2022</v>
      </c>
      <c r="C51" t="s">
        <v>7</v>
      </c>
      <c r="D51" t="s">
        <v>102</v>
      </c>
      <c r="E51" t="s">
        <v>109</v>
      </c>
      <c r="F51" t="s">
        <v>16</v>
      </c>
      <c r="G51" t="s">
        <v>103</v>
      </c>
    </row>
    <row r="52" spans="1:7" x14ac:dyDescent="0.25">
      <c r="A52">
        <v>123</v>
      </c>
      <c r="B52">
        <v>2022</v>
      </c>
      <c r="C52" t="s">
        <v>7</v>
      </c>
      <c r="D52" t="s">
        <v>102</v>
      </c>
      <c r="E52" t="s">
        <v>117</v>
      </c>
      <c r="F52" t="s">
        <v>16</v>
      </c>
      <c r="G52" t="s">
        <v>17</v>
      </c>
    </row>
    <row r="53" spans="1:7" x14ac:dyDescent="0.25">
      <c r="A53">
        <v>133</v>
      </c>
      <c r="B53">
        <v>2022</v>
      </c>
      <c r="C53" t="s">
        <v>7</v>
      </c>
      <c r="D53" t="s">
        <v>102</v>
      </c>
      <c r="E53" t="s">
        <v>134</v>
      </c>
      <c r="F53" t="s">
        <v>12</v>
      </c>
      <c r="G53" t="s">
        <v>32</v>
      </c>
    </row>
    <row r="54" spans="1:7" x14ac:dyDescent="0.25">
      <c r="A54">
        <v>117</v>
      </c>
      <c r="B54">
        <v>2022</v>
      </c>
      <c r="C54" t="s">
        <v>7</v>
      </c>
      <c r="D54" t="s">
        <v>102</v>
      </c>
      <c r="E54" t="s">
        <v>111</v>
      </c>
      <c r="F54" t="s">
        <v>1837</v>
      </c>
      <c r="G54" t="s">
        <v>22</v>
      </c>
    </row>
    <row r="55" spans="1:7" x14ac:dyDescent="0.25">
      <c r="A55">
        <v>120</v>
      </c>
      <c r="B55">
        <v>2022</v>
      </c>
      <c r="C55" t="s">
        <v>7</v>
      </c>
      <c r="D55" t="s">
        <v>102</v>
      </c>
      <c r="E55" t="s">
        <v>114</v>
      </c>
      <c r="F55" t="s">
        <v>1837</v>
      </c>
      <c r="G55" t="s">
        <v>22</v>
      </c>
    </row>
    <row r="56" spans="1:7" x14ac:dyDescent="0.25">
      <c r="A56">
        <v>135</v>
      </c>
      <c r="B56">
        <v>2022</v>
      </c>
      <c r="C56" t="s">
        <v>7</v>
      </c>
      <c r="D56" t="s">
        <v>102</v>
      </c>
      <c r="E56" t="s">
        <v>135</v>
      </c>
      <c r="F56" t="s">
        <v>9</v>
      </c>
      <c r="G56" t="s">
        <v>18</v>
      </c>
    </row>
    <row r="57" spans="1:7" x14ac:dyDescent="0.25">
      <c r="A57">
        <v>159</v>
      </c>
      <c r="B57">
        <v>2022</v>
      </c>
      <c r="C57" t="s">
        <v>7</v>
      </c>
      <c r="D57" t="s">
        <v>139</v>
      </c>
      <c r="E57" t="s">
        <v>147</v>
      </c>
      <c r="F57" t="s">
        <v>9</v>
      </c>
      <c r="G57" t="s">
        <v>145</v>
      </c>
    </row>
    <row r="58" spans="1:7" x14ac:dyDescent="0.25">
      <c r="A58">
        <v>164</v>
      </c>
      <c r="B58">
        <v>2022</v>
      </c>
      <c r="C58" t="s">
        <v>7</v>
      </c>
      <c r="D58" t="s">
        <v>139</v>
      </c>
      <c r="E58" t="s">
        <v>152</v>
      </c>
      <c r="F58" t="s">
        <v>9</v>
      </c>
      <c r="G58" t="s">
        <v>10</v>
      </c>
    </row>
    <row r="59" spans="1:7" x14ac:dyDescent="0.25">
      <c r="A59">
        <v>156</v>
      </c>
      <c r="B59">
        <v>2022</v>
      </c>
      <c r="C59" t="s">
        <v>7</v>
      </c>
      <c r="D59" t="s">
        <v>139</v>
      </c>
      <c r="E59" t="s">
        <v>146</v>
      </c>
      <c r="F59" t="s">
        <v>9</v>
      </c>
      <c r="G59" t="s">
        <v>1910</v>
      </c>
    </row>
    <row r="60" spans="1:7" x14ac:dyDescent="0.25">
      <c r="A60">
        <v>173</v>
      </c>
      <c r="B60">
        <v>2022</v>
      </c>
      <c r="C60" t="s">
        <v>7</v>
      </c>
      <c r="D60" t="s">
        <v>139</v>
      </c>
      <c r="E60" t="s">
        <v>168</v>
      </c>
      <c r="F60" t="s">
        <v>1837</v>
      </c>
      <c r="G60" t="s">
        <v>138</v>
      </c>
    </row>
    <row r="61" spans="1:7" x14ac:dyDescent="0.25">
      <c r="A61">
        <v>157</v>
      </c>
      <c r="B61">
        <v>2022</v>
      </c>
      <c r="C61" t="s">
        <v>7</v>
      </c>
      <c r="D61" t="s">
        <v>139</v>
      </c>
      <c r="E61" t="s">
        <v>140</v>
      </c>
      <c r="F61" t="s">
        <v>12</v>
      </c>
      <c r="G61" t="s">
        <v>40</v>
      </c>
    </row>
    <row r="62" spans="1:7" x14ac:dyDescent="0.25">
      <c r="A62">
        <v>165</v>
      </c>
      <c r="B62">
        <v>2022</v>
      </c>
      <c r="C62" t="s">
        <v>7</v>
      </c>
      <c r="D62" t="s">
        <v>139</v>
      </c>
      <c r="E62" t="s">
        <v>153</v>
      </c>
      <c r="F62" t="s">
        <v>1837</v>
      </c>
      <c r="G62" t="s">
        <v>71</v>
      </c>
    </row>
    <row r="63" spans="1:7" x14ac:dyDescent="0.25">
      <c r="A63">
        <v>171</v>
      </c>
      <c r="B63">
        <v>2022</v>
      </c>
      <c r="C63" t="s">
        <v>7</v>
      </c>
      <c r="D63" t="s">
        <v>139</v>
      </c>
      <c r="E63" t="s">
        <v>166</v>
      </c>
      <c r="F63" t="s">
        <v>1837</v>
      </c>
      <c r="G63" t="s">
        <v>56</v>
      </c>
    </row>
    <row r="64" spans="1:7" x14ac:dyDescent="0.25">
      <c r="A64">
        <v>172</v>
      </c>
      <c r="B64">
        <v>2022</v>
      </c>
      <c r="C64" t="s">
        <v>7</v>
      </c>
      <c r="D64" t="s">
        <v>139</v>
      </c>
      <c r="E64" t="s">
        <v>167</v>
      </c>
      <c r="F64" t="s">
        <v>1837</v>
      </c>
      <c r="G64" t="s">
        <v>56</v>
      </c>
    </row>
    <row r="65" spans="1:7" x14ac:dyDescent="0.25">
      <c r="A65">
        <v>163</v>
      </c>
      <c r="B65">
        <v>2022</v>
      </c>
      <c r="C65" t="s">
        <v>7</v>
      </c>
      <c r="D65" t="s">
        <v>139</v>
      </c>
      <c r="E65" t="s">
        <v>151</v>
      </c>
      <c r="F65" t="s">
        <v>42</v>
      </c>
      <c r="G65" t="s">
        <v>143</v>
      </c>
    </row>
    <row r="66" spans="1:7" x14ac:dyDescent="0.25">
      <c r="A66">
        <v>161</v>
      </c>
      <c r="B66">
        <v>2022</v>
      </c>
      <c r="C66" t="s">
        <v>7</v>
      </c>
      <c r="D66" t="s">
        <v>139</v>
      </c>
      <c r="E66" t="s">
        <v>163</v>
      </c>
      <c r="F66" t="s">
        <v>11</v>
      </c>
      <c r="G66" t="s">
        <v>58</v>
      </c>
    </row>
    <row r="67" spans="1:7" x14ac:dyDescent="0.25">
      <c r="A67">
        <v>160</v>
      </c>
      <c r="B67">
        <v>2022</v>
      </c>
      <c r="C67" t="s">
        <v>7</v>
      </c>
      <c r="D67" t="s">
        <v>139</v>
      </c>
      <c r="E67" t="s">
        <v>162</v>
      </c>
      <c r="F67" t="s">
        <v>42</v>
      </c>
      <c r="G67" t="s">
        <v>43</v>
      </c>
    </row>
    <row r="68" spans="1:7" x14ac:dyDescent="0.25">
      <c r="A68">
        <v>166</v>
      </c>
      <c r="B68">
        <v>2022</v>
      </c>
      <c r="C68" t="s">
        <v>7</v>
      </c>
      <c r="D68" t="s">
        <v>139</v>
      </c>
      <c r="E68" t="s">
        <v>154</v>
      </c>
      <c r="F68" t="s">
        <v>12</v>
      </c>
      <c r="G68" t="s">
        <v>35</v>
      </c>
    </row>
    <row r="69" spans="1:7" x14ac:dyDescent="0.25">
      <c r="A69">
        <v>158</v>
      </c>
      <c r="B69">
        <v>2022</v>
      </c>
      <c r="C69" t="s">
        <v>7</v>
      </c>
      <c r="D69" t="s">
        <v>139</v>
      </c>
      <c r="E69" t="s">
        <v>141</v>
      </c>
      <c r="F69" t="s">
        <v>12</v>
      </c>
      <c r="G69" t="s">
        <v>32</v>
      </c>
    </row>
    <row r="70" spans="1:7" x14ac:dyDescent="0.25">
      <c r="A70">
        <v>170</v>
      </c>
      <c r="B70">
        <v>2022</v>
      </c>
      <c r="C70" t="s">
        <v>7</v>
      </c>
      <c r="D70" t="s">
        <v>139</v>
      </c>
      <c r="E70" t="s">
        <v>165</v>
      </c>
      <c r="F70" t="s">
        <v>9</v>
      </c>
      <c r="G70" t="s">
        <v>33</v>
      </c>
    </row>
    <row r="71" spans="1:7" x14ac:dyDescent="0.25">
      <c r="A71">
        <v>162</v>
      </c>
      <c r="B71">
        <v>2022</v>
      </c>
      <c r="C71" t="s">
        <v>7</v>
      </c>
      <c r="D71" t="s">
        <v>139</v>
      </c>
      <c r="E71" t="s">
        <v>150</v>
      </c>
      <c r="F71" t="s">
        <v>1837</v>
      </c>
      <c r="G71" t="s">
        <v>22</v>
      </c>
    </row>
    <row r="72" spans="1:7" x14ac:dyDescent="0.25">
      <c r="A72">
        <v>167</v>
      </c>
      <c r="B72">
        <v>2022</v>
      </c>
      <c r="C72" t="s">
        <v>7</v>
      </c>
      <c r="D72" t="s">
        <v>139</v>
      </c>
      <c r="E72" t="s">
        <v>164</v>
      </c>
      <c r="F72" t="s">
        <v>1837</v>
      </c>
      <c r="G72" t="s">
        <v>22</v>
      </c>
    </row>
    <row r="73" spans="1:7" x14ac:dyDescent="0.25">
      <c r="A73">
        <v>222</v>
      </c>
      <c r="B73">
        <v>2022</v>
      </c>
      <c r="C73" t="s">
        <v>7</v>
      </c>
      <c r="D73" t="s">
        <v>191</v>
      </c>
      <c r="E73" t="s">
        <v>198</v>
      </c>
      <c r="F73" t="s">
        <v>59</v>
      </c>
      <c r="G73" t="s">
        <v>60</v>
      </c>
    </row>
    <row r="74" spans="1:7" x14ac:dyDescent="0.25">
      <c r="A74">
        <v>215</v>
      </c>
      <c r="B74">
        <v>2022</v>
      </c>
      <c r="C74" t="s">
        <v>7</v>
      </c>
      <c r="D74" t="s">
        <v>191</v>
      </c>
      <c r="E74" t="s">
        <v>192</v>
      </c>
      <c r="F74" t="s">
        <v>9</v>
      </c>
      <c r="G74" t="s">
        <v>1910</v>
      </c>
    </row>
    <row r="75" spans="1:7" x14ac:dyDescent="0.25">
      <c r="A75">
        <v>221</v>
      </c>
      <c r="B75">
        <v>2022</v>
      </c>
      <c r="C75" t="s">
        <v>7</v>
      </c>
      <c r="D75" t="s">
        <v>191</v>
      </c>
      <c r="E75" t="s">
        <v>197</v>
      </c>
      <c r="F75" t="s">
        <v>9</v>
      </c>
      <c r="G75" t="s">
        <v>173</v>
      </c>
    </row>
    <row r="76" spans="1:7" x14ac:dyDescent="0.25">
      <c r="A76">
        <v>223</v>
      </c>
      <c r="B76">
        <v>2022</v>
      </c>
      <c r="C76" t="s">
        <v>7</v>
      </c>
      <c r="D76" t="s">
        <v>191</v>
      </c>
      <c r="E76" t="s">
        <v>199</v>
      </c>
      <c r="F76" t="s">
        <v>16</v>
      </c>
      <c r="G76" t="s">
        <v>144</v>
      </c>
    </row>
    <row r="77" spans="1:7" x14ac:dyDescent="0.25">
      <c r="A77">
        <v>219</v>
      </c>
      <c r="B77">
        <v>2022</v>
      </c>
      <c r="C77" t="s">
        <v>7</v>
      </c>
      <c r="D77" t="s">
        <v>191</v>
      </c>
      <c r="E77" t="s">
        <v>204</v>
      </c>
      <c r="F77" t="s">
        <v>11</v>
      </c>
      <c r="G77" t="s">
        <v>172</v>
      </c>
    </row>
    <row r="78" spans="1:7" x14ac:dyDescent="0.25">
      <c r="A78">
        <v>216</v>
      </c>
      <c r="B78">
        <v>2022</v>
      </c>
      <c r="C78" t="s">
        <v>7</v>
      </c>
      <c r="D78" t="s">
        <v>191</v>
      </c>
      <c r="E78" t="s">
        <v>201</v>
      </c>
      <c r="F78" t="s">
        <v>12</v>
      </c>
      <c r="G78" t="s">
        <v>32</v>
      </c>
    </row>
    <row r="79" spans="1:7" x14ac:dyDescent="0.25">
      <c r="A79">
        <v>217</v>
      </c>
      <c r="B79">
        <v>2022</v>
      </c>
      <c r="C79" t="s">
        <v>7</v>
      </c>
      <c r="D79" t="s">
        <v>191</v>
      </c>
      <c r="E79" t="s">
        <v>202</v>
      </c>
      <c r="F79" t="s">
        <v>1837</v>
      </c>
      <c r="G79" t="s">
        <v>22</v>
      </c>
    </row>
    <row r="80" spans="1:7" x14ac:dyDescent="0.25">
      <c r="A80">
        <v>225</v>
      </c>
      <c r="B80">
        <v>2022</v>
      </c>
      <c r="C80" t="s">
        <v>7</v>
      </c>
      <c r="D80" t="s">
        <v>191</v>
      </c>
      <c r="E80" t="s">
        <v>206</v>
      </c>
      <c r="F80" t="s">
        <v>1837</v>
      </c>
      <c r="G80" t="s">
        <v>22</v>
      </c>
    </row>
    <row r="81" spans="1:7" x14ac:dyDescent="0.25">
      <c r="A81">
        <v>218</v>
      </c>
      <c r="B81">
        <v>2022</v>
      </c>
      <c r="C81" t="s">
        <v>7</v>
      </c>
      <c r="D81" t="s">
        <v>191</v>
      </c>
      <c r="E81" t="s">
        <v>203</v>
      </c>
      <c r="F81" t="s">
        <v>9</v>
      </c>
      <c r="G81" t="s">
        <v>18</v>
      </c>
    </row>
    <row r="82" spans="1:7" x14ac:dyDescent="0.25">
      <c r="A82">
        <v>224</v>
      </c>
      <c r="B82">
        <v>2022</v>
      </c>
      <c r="C82" t="s">
        <v>7</v>
      </c>
      <c r="D82" t="s">
        <v>191</v>
      </c>
      <c r="E82" t="s">
        <v>205</v>
      </c>
      <c r="F82" t="s">
        <v>9</v>
      </c>
      <c r="G82" t="s">
        <v>18</v>
      </c>
    </row>
    <row r="83" spans="1:7" x14ac:dyDescent="0.25">
      <c r="A83">
        <v>252</v>
      </c>
      <c r="B83">
        <v>2022</v>
      </c>
      <c r="C83" t="s">
        <v>7</v>
      </c>
      <c r="D83" t="s">
        <v>208</v>
      </c>
      <c r="E83" t="s">
        <v>231</v>
      </c>
      <c r="F83" t="s">
        <v>9</v>
      </c>
      <c r="G83" t="s">
        <v>1910</v>
      </c>
    </row>
    <row r="84" spans="1:7" x14ac:dyDescent="0.25">
      <c r="A84">
        <v>246</v>
      </c>
      <c r="B84">
        <v>2022</v>
      </c>
      <c r="C84" t="s">
        <v>7</v>
      </c>
      <c r="D84" t="s">
        <v>208</v>
      </c>
      <c r="E84" t="s">
        <v>227</v>
      </c>
      <c r="F84" t="s">
        <v>1837</v>
      </c>
      <c r="G84" t="s">
        <v>138</v>
      </c>
    </row>
    <row r="85" spans="1:7" x14ac:dyDescent="0.25">
      <c r="A85">
        <v>243</v>
      </c>
      <c r="B85">
        <v>2022</v>
      </c>
      <c r="C85" t="s">
        <v>7</v>
      </c>
      <c r="D85" t="s">
        <v>208</v>
      </c>
      <c r="E85" t="s">
        <v>224</v>
      </c>
      <c r="F85" t="s">
        <v>1837</v>
      </c>
      <c r="G85" t="s">
        <v>62</v>
      </c>
    </row>
    <row r="86" spans="1:7" x14ac:dyDescent="0.25">
      <c r="A86">
        <v>242</v>
      </c>
      <c r="B86">
        <v>2022</v>
      </c>
      <c r="C86" t="s">
        <v>7</v>
      </c>
      <c r="D86" t="s">
        <v>208</v>
      </c>
      <c r="E86" t="s">
        <v>223</v>
      </c>
      <c r="F86" t="s">
        <v>9</v>
      </c>
      <c r="G86" t="s">
        <v>26</v>
      </c>
    </row>
    <row r="87" spans="1:7" x14ac:dyDescent="0.25">
      <c r="A87">
        <v>251</v>
      </c>
      <c r="B87">
        <v>2022</v>
      </c>
      <c r="C87" t="s">
        <v>7</v>
      </c>
      <c r="D87" t="s">
        <v>208</v>
      </c>
      <c r="E87" t="s">
        <v>230</v>
      </c>
      <c r="F87" t="s">
        <v>9</v>
      </c>
      <c r="G87" t="s">
        <v>26</v>
      </c>
    </row>
    <row r="88" spans="1:7" x14ac:dyDescent="0.25">
      <c r="A88">
        <v>248</v>
      </c>
      <c r="B88">
        <v>2022</v>
      </c>
      <c r="C88" t="s">
        <v>7</v>
      </c>
      <c r="D88" t="s">
        <v>208</v>
      </c>
      <c r="E88" t="s">
        <v>229</v>
      </c>
      <c r="F88" t="s">
        <v>1837</v>
      </c>
      <c r="G88" t="s">
        <v>56</v>
      </c>
    </row>
    <row r="89" spans="1:7" x14ac:dyDescent="0.25">
      <c r="A89">
        <v>238</v>
      </c>
      <c r="B89">
        <v>2022</v>
      </c>
      <c r="C89" t="s">
        <v>7</v>
      </c>
      <c r="D89" t="s">
        <v>208</v>
      </c>
      <c r="E89" t="s">
        <v>222</v>
      </c>
      <c r="F89" t="s">
        <v>12</v>
      </c>
      <c r="G89" t="s">
        <v>13</v>
      </c>
    </row>
    <row r="90" spans="1:7" x14ac:dyDescent="0.25">
      <c r="A90">
        <v>257</v>
      </c>
      <c r="B90">
        <v>2022</v>
      </c>
      <c r="C90" t="s">
        <v>7</v>
      </c>
      <c r="D90" t="s">
        <v>208</v>
      </c>
      <c r="E90" t="s">
        <v>236</v>
      </c>
      <c r="F90" t="s">
        <v>1837</v>
      </c>
      <c r="G90" t="s">
        <v>70</v>
      </c>
    </row>
    <row r="91" spans="1:7" x14ac:dyDescent="0.25">
      <c r="A91">
        <v>255</v>
      </c>
      <c r="B91">
        <v>2022</v>
      </c>
      <c r="C91" t="s">
        <v>7</v>
      </c>
      <c r="D91" t="s">
        <v>208</v>
      </c>
      <c r="E91" t="s">
        <v>234</v>
      </c>
      <c r="F91" t="s">
        <v>16</v>
      </c>
      <c r="G91" t="s">
        <v>103</v>
      </c>
    </row>
    <row r="92" spans="1:7" x14ac:dyDescent="0.25">
      <c r="A92">
        <v>253</v>
      </c>
      <c r="B92">
        <v>2022</v>
      </c>
      <c r="C92" t="s">
        <v>7</v>
      </c>
      <c r="D92" t="s">
        <v>208</v>
      </c>
      <c r="E92" t="s">
        <v>232</v>
      </c>
      <c r="F92" t="s">
        <v>16</v>
      </c>
      <c r="G92" t="s">
        <v>17</v>
      </c>
    </row>
    <row r="93" spans="1:7" x14ac:dyDescent="0.25">
      <c r="A93">
        <v>247</v>
      </c>
      <c r="B93">
        <v>2022</v>
      </c>
      <c r="C93" t="s">
        <v>7</v>
      </c>
      <c r="D93" t="s">
        <v>208</v>
      </c>
      <c r="E93" t="s">
        <v>228</v>
      </c>
      <c r="F93" t="s">
        <v>9</v>
      </c>
      <c r="G93" t="s">
        <v>33</v>
      </c>
    </row>
    <row r="94" spans="1:7" x14ac:dyDescent="0.25">
      <c r="A94">
        <v>245</v>
      </c>
      <c r="B94">
        <v>2022</v>
      </c>
      <c r="C94" t="s">
        <v>7</v>
      </c>
      <c r="D94" t="s">
        <v>208</v>
      </c>
      <c r="E94" t="s">
        <v>226</v>
      </c>
      <c r="F94" t="s">
        <v>1837</v>
      </c>
      <c r="G94" t="s">
        <v>22</v>
      </c>
    </row>
    <row r="95" spans="1:7" x14ac:dyDescent="0.25">
      <c r="A95">
        <v>254</v>
      </c>
      <c r="B95">
        <v>2022</v>
      </c>
      <c r="C95" t="s">
        <v>7</v>
      </c>
      <c r="D95" t="s">
        <v>208</v>
      </c>
      <c r="E95" t="s">
        <v>233</v>
      </c>
      <c r="F95" t="s">
        <v>1837</v>
      </c>
      <c r="G95" t="s">
        <v>22</v>
      </c>
    </row>
    <row r="96" spans="1:7" x14ac:dyDescent="0.25">
      <c r="A96">
        <v>244</v>
      </c>
      <c r="B96">
        <v>2022</v>
      </c>
      <c r="C96" t="s">
        <v>7</v>
      </c>
      <c r="D96" t="s">
        <v>208</v>
      </c>
      <c r="E96" t="s">
        <v>225</v>
      </c>
      <c r="F96" t="s">
        <v>9</v>
      </c>
      <c r="G96" t="s">
        <v>18</v>
      </c>
    </row>
    <row r="97" spans="1:7" x14ac:dyDescent="0.25">
      <c r="A97">
        <v>256</v>
      </c>
      <c r="B97">
        <v>2022</v>
      </c>
      <c r="C97" t="s">
        <v>7</v>
      </c>
      <c r="D97" t="s">
        <v>208</v>
      </c>
      <c r="E97" t="s">
        <v>235</v>
      </c>
      <c r="F97" t="s">
        <v>9</v>
      </c>
      <c r="G97" t="s">
        <v>18</v>
      </c>
    </row>
    <row r="98" spans="1:7" x14ac:dyDescent="0.25">
      <c r="A98">
        <v>267</v>
      </c>
      <c r="B98">
        <v>2022</v>
      </c>
      <c r="C98" t="s">
        <v>7</v>
      </c>
      <c r="D98" t="s">
        <v>237</v>
      </c>
      <c r="E98" t="s">
        <v>239</v>
      </c>
      <c r="F98" t="s">
        <v>1837</v>
      </c>
      <c r="G98" t="s">
        <v>20</v>
      </c>
    </row>
    <row r="99" spans="1:7" x14ac:dyDescent="0.25">
      <c r="A99">
        <v>266</v>
      </c>
      <c r="B99">
        <v>2022</v>
      </c>
      <c r="C99" t="s">
        <v>7</v>
      </c>
      <c r="D99" t="s">
        <v>237</v>
      </c>
      <c r="E99" t="s">
        <v>238</v>
      </c>
      <c r="F99" t="s">
        <v>9</v>
      </c>
      <c r="G99" t="s">
        <v>1910</v>
      </c>
    </row>
    <row r="100" spans="1:7" x14ac:dyDescent="0.25">
      <c r="A100">
        <v>268</v>
      </c>
      <c r="B100">
        <v>2022</v>
      </c>
      <c r="C100" t="s">
        <v>7</v>
      </c>
      <c r="D100" t="s">
        <v>237</v>
      </c>
      <c r="E100" t="s">
        <v>243</v>
      </c>
      <c r="F100" t="s">
        <v>9</v>
      </c>
      <c r="G100" t="s">
        <v>173</v>
      </c>
    </row>
    <row r="101" spans="1:7" x14ac:dyDescent="0.25">
      <c r="A101">
        <v>271</v>
      </c>
      <c r="B101">
        <v>2022</v>
      </c>
      <c r="C101" t="s">
        <v>7</v>
      </c>
      <c r="D101" t="s">
        <v>237</v>
      </c>
      <c r="E101" t="s">
        <v>242</v>
      </c>
      <c r="F101" t="s">
        <v>11</v>
      </c>
      <c r="G101" t="s">
        <v>1639</v>
      </c>
    </row>
    <row r="102" spans="1:7" x14ac:dyDescent="0.25">
      <c r="A102">
        <v>272</v>
      </c>
      <c r="B102">
        <v>2022</v>
      </c>
      <c r="C102" t="s">
        <v>7</v>
      </c>
      <c r="D102" t="s">
        <v>237</v>
      </c>
      <c r="E102" t="s">
        <v>244</v>
      </c>
      <c r="F102" t="s">
        <v>42</v>
      </c>
      <c r="G102" t="s">
        <v>143</v>
      </c>
    </row>
    <row r="103" spans="1:7" x14ac:dyDescent="0.25">
      <c r="A103">
        <v>269</v>
      </c>
      <c r="B103">
        <v>2022</v>
      </c>
      <c r="C103" t="s">
        <v>7</v>
      </c>
      <c r="D103" t="s">
        <v>237</v>
      </c>
      <c r="E103" t="s">
        <v>240</v>
      </c>
      <c r="F103" t="s">
        <v>12</v>
      </c>
      <c r="G103" t="s">
        <v>1573</v>
      </c>
    </row>
    <row r="104" spans="1:7" x14ac:dyDescent="0.25">
      <c r="A104">
        <v>273</v>
      </c>
      <c r="B104">
        <v>2022</v>
      </c>
      <c r="C104" t="s">
        <v>7</v>
      </c>
      <c r="D104" t="s">
        <v>237</v>
      </c>
      <c r="E104" t="s">
        <v>245</v>
      </c>
      <c r="F104" t="s">
        <v>9</v>
      </c>
      <c r="G104" t="s">
        <v>33</v>
      </c>
    </row>
    <row r="105" spans="1:7" x14ac:dyDescent="0.25">
      <c r="A105">
        <v>270</v>
      </c>
      <c r="B105">
        <v>2022</v>
      </c>
      <c r="C105" t="s">
        <v>7</v>
      </c>
      <c r="D105" t="s">
        <v>237</v>
      </c>
      <c r="E105" t="s">
        <v>241</v>
      </c>
      <c r="F105" t="s">
        <v>1837</v>
      </c>
      <c r="G105" t="s">
        <v>22</v>
      </c>
    </row>
    <row r="106" spans="1:7" x14ac:dyDescent="0.25">
      <c r="A106">
        <v>195</v>
      </c>
      <c r="B106">
        <v>2022</v>
      </c>
      <c r="C106" t="s">
        <v>7</v>
      </c>
      <c r="D106" t="s">
        <v>170</v>
      </c>
      <c r="E106" t="s">
        <v>189</v>
      </c>
      <c r="F106" t="s">
        <v>1837</v>
      </c>
      <c r="G106" t="s">
        <v>20</v>
      </c>
    </row>
    <row r="107" spans="1:7" x14ac:dyDescent="0.25">
      <c r="A107">
        <v>201</v>
      </c>
      <c r="B107">
        <v>2022</v>
      </c>
      <c r="C107" t="s">
        <v>7</v>
      </c>
      <c r="D107" t="s">
        <v>170</v>
      </c>
      <c r="E107" t="s">
        <v>186</v>
      </c>
      <c r="F107" t="s">
        <v>9</v>
      </c>
      <c r="G107" t="s">
        <v>10</v>
      </c>
    </row>
    <row r="108" spans="1:7" x14ac:dyDescent="0.25">
      <c r="A108">
        <v>200</v>
      </c>
      <c r="B108">
        <v>2022</v>
      </c>
      <c r="C108" t="s">
        <v>7</v>
      </c>
      <c r="D108" t="s">
        <v>170</v>
      </c>
      <c r="E108" t="s">
        <v>185</v>
      </c>
      <c r="F108" t="s">
        <v>9</v>
      </c>
      <c r="G108" t="s">
        <v>1910</v>
      </c>
    </row>
    <row r="109" spans="1:7" x14ac:dyDescent="0.25">
      <c r="A109">
        <v>202</v>
      </c>
      <c r="B109">
        <v>2022</v>
      </c>
      <c r="C109" t="s">
        <v>7</v>
      </c>
      <c r="D109" t="s">
        <v>170</v>
      </c>
      <c r="E109" t="s">
        <v>187</v>
      </c>
      <c r="F109" t="s">
        <v>1837</v>
      </c>
      <c r="G109" t="s">
        <v>62</v>
      </c>
    </row>
    <row r="110" spans="1:7" x14ac:dyDescent="0.25">
      <c r="A110">
        <v>205</v>
      </c>
      <c r="B110">
        <v>2022</v>
      </c>
      <c r="C110" t="s">
        <v>7</v>
      </c>
      <c r="D110" t="s">
        <v>170</v>
      </c>
      <c r="E110" t="s">
        <v>190</v>
      </c>
      <c r="F110" t="s">
        <v>16</v>
      </c>
      <c r="G110" t="s">
        <v>144</v>
      </c>
    </row>
    <row r="111" spans="1:7" x14ac:dyDescent="0.25">
      <c r="A111">
        <v>191</v>
      </c>
      <c r="B111">
        <v>2022</v>
      </c>
      <c r="C111" t="s">
        <v>7</v>
      </c>
      <c r="D111" t="s">
        <v>170</v>
      </c>
      <c r="E111" t="s">
        <v>176</v>
      </c>
      <c r="F111" t="s">
        <v>1837</v>
      </c>
      <c r="G111" t="s">
        <v>56</v>
      </c>
    </row>
    <row r="112" spans="1:7" x14ac:dyDescent="0.25">
      <c r="A112">
        <v>190</v>
      </c>
      <c r="B112">
        <v>2022</v>
      </c>
      <c r="C112" t="s">
        <v>7</v>
      </c>
      <c r="D112" t="s">
        <v>170</v>
      </c>
      <c r="E112" t="s">
        <v>171</v>
      </c>
      <c r="F112" t="s">
        <v>12</v>
      </c>
      <c r="G112" t="s">
        <v>13</v>
      </c>
    </row>
    <row r="113" spans="1:7" x14ac:dyDescent="0.25">
      <c r="A113">
        <v>199</v>
      </c>
      <c r="B113">
        <v>2022</v>
      </c>
      <c r="C113" t="s">
        <v>7</v>
      </c>
      <c r="D113" t="s">
        <v>170</v>
      </c>
      <c r="E113" t="s">
        <v>184</v>
      </c>
      <c r="F113" t="s">
        <v>11</v>
      </c>
      <c r="G113" t="s">
        <v>58</v>
      </c>
    </row>
    <row r="114" spans="1:7" x14ac:dyDescent="0.25">
      <c r="A114">
        <v>194</v>
      </c>
      <c r="B114">
        <v>2022</v>
      </c>
      <c r="C114" t="s">
        <v>7</v>
      </c>
      <c r="D114" t="s">
        <v>170</v>
      </c>
      <c r="E114" t="s">
        <v>179</v>
      </c>
      <c r="F114" t="s">
        <v>11</v>
      </c>
      <c r="G114" t="s">
        <v>142</v>
      </c>
    </row>
    <row r="115" spans="1:7" x14ac:dyDescent="0.25">
      <c r="A115">
        <v>196</v>
      </c>
      <c r="B115">
        <v>2022</v>
      </c>
      <c r="C115" t="s">
        <v>7</v>
      </c>
      <c r="D115" t="s">
        <v>170</v>
      </c>
      <c r="E115" t="s">
        <v>181</v>
      </c>
      <c r="F115" t="s">
        <v>42</v>
      </c>
      <c r="G115" t="s">
        <v>43</v>
      </c>
    </row>
    <row r="116" spans="1:7" x14ac:dyDescent="0.25">
      <c r="A116">
        <v>197</v>
      </c>
      <c r="B116">
        <v>2022</v>
      </c>
      <c r="C116" t="s">
        <v>7</v>
      </c>
      <c r="D116" t="s">
        <v>170</v>
      </c>
      <c r="E116" t="s">
        <v>182</v>
      </c>
      <c r="F116" t="s">
        <v>42</v>
      </c>
      <c r="G116" t="s">
        <v>43</v>
      </c>
    </row>
    <row r="117" spans="1:7" x14ac:dyDescent="0.25">
      <c r="A117">
        <v>203</v>
      </c>
      <c r="B117">
        <v>2022</v>
      </c>
      <c r="C117" t="s">
        <v>7</v>
      </c>
      <c r="D117" t="s">
        <v>170</v>
      </c>
      <c r="E117" t="s">
        <v>188</v>
      </c>
      <c r="F117" t="s">
        <v>42</v>
      </c>
      <c r="G117" t="s">
        <v>43</v>
      </c>
    </row>
    <row r="118" spans="1:7" x14ac:dyDescent="0.25">
      <c r="A118">
        <v>193</v>
      </c>
      <c r="B118">
        <v>2022</v>
      </c>
      <c r="C118" t="s">
        <v>7</v>
      </c>
      <c r="D118" t="s">
        <v>170</v>
      </c>
      <c r="E118" t="s">
        <v>178</v>
      </c>
      <c r="F118" t="s">
        <v>11</v>
      </c>
      <c r="G118" t="s">
        <v>172</v>
      </c>
    </row>
    <row r="119" spans="1:7" x14ac:dyDescent="0.25">
      <c r="A119">
        <v>198</v>
      </c>
      <c r="B119">
        <v>2022</v>
      </c>
      <c r="C119" t="s">
        <v>7</v>
      </c>
      <c r="D119" t="s">
        <v>170</v>
      </c>
      <c r="E119" t="s">
        <v>183</v>
      </c>
      <c r="F119" t="s">
        <v>11</v>
      </c>
      <c r="G119" t="s">
        <v>172</v>
      </c>
    </row>
    <row r="120" spans="1:7" x14ac:dyDescent="0.25">
      <c r="A120">
        <v>189</v>
      </c>
      <c r="B120">
        <v>2022</v>
      </c>
      <c r="C120" t="s">
        <v>7</v>
      </c>
      <c r="D120" t="s">
        <v>170</v>
      </c>
      <c r="E120" t="s">
        <v>175</v>
      </c>
      <c r="F120" t="s">
        <v>9</v>
      </c>
      <c r="G120" t="s">
        <v>33</v>
      </c>
    </row>
    <row r="121" spans="1:7" x14ac:dyDescent="0.25">
      <c r="A121">
        <v>192</v>
      </c>
      <c r="B121">
        <v>2022</v>
      </c>
      <c r="C121" t="s">
        <v>7</v>
      </c>
      <c r="D121" t="s">
        <v>170</v>
      </c>
      <c r="E121" t="s">
        <v>177</v>
      </c>
      <c r="F121" t="s">
        <v>9</v>
      </c>
      <c r="G121" t="s">
        <v>33</v>
      </c>
    </row>
    <row r="122" spans="1:7" x14ac:dyDescent="0.25">
      <c r="A122">
        <v>204</v>
      </c>
      <c r="B122">
        <v>2022</v>
      </c>
      <c r="C122" t="s">
        <v>7</v>
      </c>
      <c r="D122" t="s">
        <v>170</v>
      </c>
      <c r="E122" t="s">
        <v>1999</v>
      </c>
      <c r="F122" t="s">
        <v>9</v>
      </c>
      <c r="G122" t="s">
        <v>18</v>
      </c>
    </row>
    <row r="123" spans="1:7" x14ac:dyDescent="0.25">
      <c r="A123">
        <v>300</v>
      </c>
      <c r="B123">
        <v>2022</v>
      </c>
      <c r="C123" t="s">
        <v>7</v>
      </c>
      <c r="D123" t="s">
        <v>246</v>
      </c>
      <c r="E123" t="s">
        <v>270</v>
      </c>
      <c r="F123" t="s">
        <v>1837</v>
      </c>
      <c r="G123" t="s">
        <v>20</v>
      </c>
    </row>
    <row r="124" spans="1:7" x14ac:dyDescent="0.25">
      <c r="A124">
        <v>296</v>
      </c>
      <c r="B124">
        <v>2022</v>
      </c>
      <c r="C124" t="s">
        <v>7</v>
      </c>
      <c r="D124" t="s">
        <v>246</v>
      </c>
      <c r="E124" t="s">
        <v>266</v>
      </c>
      <c r="F124" t="s">
        <v>59</v>
      </c>
      <c r="G124" t="s">
        <v>60</v>
      </c>
    </row>
    <row r="125" spans="1:7" x14ac:dyDescent="0.25">
      <c r="A125">
        <v>303</v>
      </c>
      <c r="B125">
        <v>2022</v>
      </c>
      <c r="C125" t="s">
        <v>7</v>
      </c>
      <c r="D125" t="s">
        <v>246</v>
      </c>
      <c r="E125" t="s">
        <v>273</v>
      </c>
      <c r="F125" t="s">
        <v>9</v>
      </c>
      <c r="G125" t="s">
        <v>173</v>
      </c>
    </row>
    <row r="126" spans="1:7" x14ac:dyDescent="0.25">
      <c r="A126">
        <v>307</v>
      </c>
      <c r="B126">
        <v>2022</v>
      </c>
      <c r="C126" t="s">
        <v>7</v>
      </c>
      <c r="D126" t="s">
        <v>246</v>
      </c>
      <c r="E126" t="s">
        <v>277</v>
      </c>
      <c r="F126" t="s">
        <v>1837</v>
      </c>
      <c r="G126" t="s">
        <v>138</v>
      </c>
    </row>
    <row r="127" spans="1:7" x14ac:dyDescent="0.25">
      <c r="A127">
        <v>302</v>
      </c>
      <c r="B127">
        <v>2022</v>
      </c>
      <c r="C127" t="s">
        <v>7</v>
      </c>
      <c r="D127" t="s">
        <v>246</v>
      </c>
      <c r="E127" t="s">
        <v>272</v>
      </c>
      <c r="F127" t="s">
        <v>12</v>
      </c>
      <c r="G127" t="s">
        <v>13</v>
      </c>
    </row>
    <row r="128" spans="1:7" x14ac:dyDescent="0.25">
      <c r="A128">
        <v>306</v>
      </c>
      <c r="B128">
        <v>2022</v>
      </c>
      <c r="C128" t="s">
        <v>7</v>
      </c>
      <c r="D128" t="s">
        <v>246</v>
      </c>
      <c r="E128" t="s">
        <v>276</v>
      </c>
      <c r="F128" t="s">
        <v>12</v>
      </c>
      <c r="G128" t="s">
        <v>13</v>
      </c>
    </row>
    <row r="129" spans="1:7" x14ac:dyDescent="0.25">
      <c r="A129">
        <v>294</v>
      </c>
      <c r="B129">
        <v>2022</v>
      </c>
      <c r="C129" t="s">
        <v>7</v>
      </c>
      <c r="D129" t="s">
        <v>246</v>
      </c>
      <c r="E129" t="s">
        <v>264</v>
      </c>
      <c r="F129" t="s">
        <v>12</v>
      </c>
      <c r="G129" t="s">
        <v>169</v>
      </c>
    </row>
    <row r="130" spans="1:7" x14ac:dyDescent="0.25">
      <c r="A130">
        <v>295</v>
      </c>
      <c r="B130">
        <v>2022</v>
      </c>
      <c r="C130" t="s">
        <v>7</v>
      </c>
      <c r="D130" t="s">
        <v>246</v>
      </c>
      <c r="E130" t="s">
        <v>265</v>
      </c>
      <c r="F130" t="s">
        <v>1837</v>
      </c>
      <c r="G130" t="s">
        <v>70</v>
      </c>
    </row>
    <row r="131" spans="1:7" x14ac:dyDescent="0.25">
      <c r="A131">
        <v>308</v>
      </c>
      <c r="B131">
        <v>2022</v>
      </c>
      <c r="C131" t="s">
        <v>7</v>
      </c>
      <c r="D131" t="s">
        <v>246</v>
      </c>
      <c r="E131" t="s">
        <v>278</v>
      </c>
      <c r="F131" t="s">
        <v>1837</v>
      </c>
      <c r="G131" t="s">
        <v>70</v>
      </c>
    </row>
    <row r="132" spans="1:7" x14ac:dyDescent="0.25">
      <c r="A132">
        <v>301</v>
      </c>
      <c r="B132">
        <v>2022</v>
      </c>
      <c r="C132" t="s">
        <v>7</v>
      </c>
      <c r="D132" t="s">
        <v>246</v>
      </c>
      <c r="E132" t="s">
        <v>271</v>
      </c>
      <c r="F132" t="s">
        <v>11</v>
      </c>
      <c r="G132" t="s">
        <v>58</v>
      </c>
    </row>
    <row r="133" spans="1:7" x14ac:dyDescent="0.25">
      <c r="A133">
        <v>305</v>
      </c>
      <c r="B133">
        <v>2022</v>
      </c>
      <c r="C133" t="s">
        <v>7</v>
      </c>
      <c r="D133" t="s">
        <v>246</v>
      </c>
      <c r="E133" t="s">
        <v>275</v>
      </c>
      <c r="F133" t="s">
        <v>16</v>
      </c>
      <c r="G133" t="s">
        <v>17</v>
      </c>
    </row>
    <row r="134" spans="1:7" x14ac:dyDescent="0.25">
      <c r="A134">
        <v>293</v>
      </c>
      <c r="B134">
        <v>2022</v>
      </c>
      <c r="C134" t="s">
        <v>7</v>
      </c>
      <c r="D134" t="s">
        <v>246</v>
      </c>
      <c r="E134" t="s">
        <v>263</v>
      </c>
      <c r="F134" t="s">
        <v>12</v>
      </c>
      <c r="G134" t="s">
        <v>32</v>
      </c>
    </row>
    <row r="135" spans="1:7" x14ac:dyDescent="0.25">
      <c r="A135">
        <v>297</v>
      </c>
      <c r="B135">
        <v>2022</v>
      </c>
      <c r="C135" t="s">
        <v>7</v>
      </c>
      <c r="D135" t="s">
        <v>246</v>
      </c>
      <c r="E135" t="s">
        <v>267</v>
      </c>
      <c r="F135" t="s">
        <v>12</v>
      </c>
      <c r="G135" t="s">
        <v>32</v>
      </c>
    </row>
    <row r="136" spans="1:7" x14ac:dyDescent="0.25">
      <c r="A136">
        <v>298</v>
      </c>
      <c r="B136">
        <v>2022</v>
      </c>
      <c r="C136" t="s">
        <v>7</v>
      </c>
      <c r="D136" t="s">
        <v>246</v>
      </c>
      <c r="E136" t="s">
        <v>268</v>
      </c>
      <c r="F136" t="s">
        <v>12</v>
      </c>
      <c r="G136" t="s">
        <v>32</v>
      </c>
    </row>
    <row r="137" spans="1:7" x14ac:dyDescent="0.25">
      <c r="A137">
        <v>304</v>
      </c>
      <c r="B137">
        <v>2022</v>
      </c>
      <c r="C137" t="s">
        <v>7</v>
      </c>
      <c r="D137" t="s">
        <v>246</v>
      </c>
      <c r="E137" t="s">
        <v>274</v>
      </c>
      <c r="F137" t="s">
        <v>1837</v>
      </c>
      <c r="G137" t="s">
        <v>22</v>
      </c>
    </row>
    <row r="138" spans="1:7" x14ac:dyDescent="0.25">
      <c r="A138">
        <v>299</v>
      </c>
      <c r="B138">
        <v>2022</v>
      </c>
      <c r="C138" t="s">
        <v>7</v>
      </c>
      <c r="D138" t="s">
        <v>246</v>
      </c>
      <c r="E138" t="s">
        <v>269</v>
      </c>
      <c r="F138" t="s">
        <v>9</v>
      </c>
      <c r="G138" t="s">
        <v>18</v>
      </c>
    </row>
    <row r="139" spans="1:7" x14ac:dyDescent="0.25">
      <c r="A139">
        <v>327</v>
      </c>
      <c r="B139">
        <v>2022</v>
      </c>
      <c r="C139" t="s">
        <v>7</v>
      </c>
      <c r="D139" t="s">
        <v>279</v>
      </c>
      <c r="E139" t="s">
        <v>294</v>
      </c>
      <c r="F139" t="s">
        <v>1837</v>
      </c>
      <c r="G139" t="s">
        <v>14</v>
      </c>
    </row>
    <row r="140" spans="1:7" x14ac:dyDescent="0.25">
      <c r="A140">
        <v>338</v>
      </c>
      <c r="B140">
        <v>2022</v>
      </c>
      <c r="C140" t="s">
        <v>7</v>
      </c>
      <c r="D140" t="s">
        <v>279</v>
      </c>
      <c r="E140" t="s">
        <v>302</v>
      </c>
      <c r="F140" t="s">
        <v>1837</v>
      </c>
      <c r="G140" t="s">
        <v>138</v>
      </c>
    </row>
    <row r="141" spans="1:7" x14ac:dyDescent="0.25">
      <c r="A141">
        <v>339</v>
      </c>
      <c r="B141">
        <v>2022</v>
      </c>
      <c r="C141" t="s">
        <v>7</v>
      </c>
      <c r="D141" t="s">
        <v>279</v>
      </c>
      <c r="E141" t="s">
        <v>303</v>
      </c>
      <c r="F141" t="s">
        <v>16</v>
      </c>
      <c r="G141" t="s">
        <v>144</v>
      </c>
    </row>
    <row r="142" spans="1:7" x14ac:dyDescent="0.25">
      <c r="A142">
        <v>337</v>
      </c>
      <c r="B142">
        <v>2022</v>
      </c>
      <c r="C142" t="s">
        <v>7</v>
      </c>
      <c r="D142" t="s">
        <v>279</v>
      </c>
      <c r="E142" t="s">
        <v>301</v>
      </c>
      <c r="F142" t="s">
        <v>1837</v>
      </c>
      <c r="G142" t="s">
        <v>56</v>
      </c>
    </row>
    <row r="143" spans="1:7" x14ac:dyDescent="0.25">
      <c r="A143">
        <v>325</v>
      </c>
      <c r="B143">
        <v>2022</v>
      </c>
      <c r="C143" t="s">
        <v>7</v>
      </c>
      <c r="D143" t="s">
        <v>279</v>
      </c>
      <c r="E143" t="s">
        <v>280</v>
      </c>
      <c r="F143" t="s">
        <v>12</v>
      </c>
      <c r="G143" t="s">
        <v>13</v>
      </c>
    </row>
    <row r="144" spans="1:7" x14ac:dyDescent="0.25">
      <c r="A144">
        <v>342</v>
      </c>
      <c r="B144">
        <v>2022</v>
      </c>
      <c r="C144" t="s">
        <v>7</v>
      </c>
      <c r="D144" t="s">
        <v>279</v>
      </c>
      <c r="E144" t="s">
        <v>305</v>
      </c>
      <c r="F144" t="s">
        <v>42</v>
      </c>
      <c r="G144" t="s">
        <v>143</v>
      </c>
    </row>
    <row r="145" spans="1:7" x14ac:dyDescent="0.25">
      <c r="A145">
        <v>334</v>
      </c>
      <c r="B145">
        <v>2022</v>
      </c>
      <c r="C145" t="s">
        <v>7</v>
      </c>
      <c r="D145" t="s">
        <v>279</v>
      </c>
      <c r="E145" t="s">
        <v>298</v>
      </c>
      <c r="F145" t="s">
        <v>1837</v>
      </c>
      <c r="G145" t="s">
        <v>70</v>
      </c>
    </row>
    <row r="146" spans="1:7" x14ac:dyDescent="0.25">
      <c r="A146">
        <v>341</v>
      </c>
      <c r="B146">
        <v>2022</v>
      </c>
      <c r="C146" t="s">
        <v>7</v>
      </c>
      <c r="D146" t="s">
        <v>279</v>
      </c>
      <c r="E146" t="s">
        <v>304</v>
      </c>
      <c r="F146" t="s">
        <v>42</v>
      </c>
      <c r="G146" t="s">
        <v>43</v>
      </c>
    </row>
    <row r="147" spans="1:7" x14ac:dyDescent="0.25">
      <c r="A147">
        <v>335</v>
      </c>
      <c r="B147">
        <v>2022</v>
      </c>
      <c r="C147" t="s">
        <v>7</v>
      </c>
      <c r="D147" t="s">
        <v>279</v>
      </c>
      <c r="E147" t="s">
        <v>299</v>
      </c>
      <c r="F147" t="s">
        <v>16</v>
      </c>
      <c r="G147" t="s">
        <v>17</v>
      </c>
    </row>
    <row r="148" spans="1:7" x14ac:dyDescent="0.25">
      <c r="A148">
        <v>329</v>
      </c>
      <c r="B148">
        <v>2022</v>
      </c>
      <c r="C148" t="s">
        <v>7</v>
      </c>
      <c r="D148" t="s">
        <v>279</v>
      </c>
      <c r="E148" t="s">
        <v>295</v>
      </c>
      <c r="F148" t="s">
        <v>12</v>
      </c>
      <c r="G148" t="s">
        <v>32</v>
      </c>
    </row>
    <row r="149" spans="1:7" x14ac:dyDescent="0.25">
      <c r="A149">
        <v>336</v>
      </c>
      <c r="B149">
        <v>2022</v>
      </c>
      <c r="C149" t="s">
        <v>7</v>
      </c>
      <c r="D149" t="s">
        <v>279</v>
      </c>
      <c r="E149" t="s">
        <v>300</v>
      </c>
      <c r="F149" t="s">
        <v>9</v>
      </c>
      <c r="G149" t="s">
        <v>33</v>
      </c>
    </row>
    <row r="150" spans="1:7" x14ac:dyDescent="0.25">
      <c r="A150">
        <v>332</v>
      </c>
      <c r="B150">
        <v>2022</v>
      </c>
      <c r="C150" t="s">
        <v>7</v>
      </c>
      <c r="D150" t="s">
        <v>279</v>
      </c>
      <c r="E150" t="s">
        <v>297</v>
      </c>
      <c r="F150" t="s">
        <v>9</v>
      </c>
      <c r="G150" t="s">
        <v>33</v>
      </c>
    </row>
    <row r="151" spans="1:7" x14ac:dyDescent="0.25">
      <c r="A151">
        <v>330</v>
      </c>
      <c r="B151">
        <v>2022</v>
      </c>
      <c r="C151" t="s">
        <v>7</v>
      </c>
      <c r="D151" t="s">
        <v>279</v>
      </c>
      <c r="E151" t="s">
        <v>296</v>
      </c>
      <c r="F151" t="s">
        <v>9</v>
      </c>
      <c r="G151" t="s">
        <v>18</v>
      </c>
    </row>
    <row r="152" spans="1:7" x14ac:dyDescent="0.25">
      <c r="A152">
        <v>393</v>
      </c>
      <c r="B152">
        <v>2022</v>
      </c>
      <c r="C152" t="s">
        <v>7</v>
      </c>
      <c r="D152" t="s">
        <v>306</v>
      </c>
      <c r="E152" t="s">
        <v>347</v>
      </c>
      <c r="F152" t="s">
        <v>1837</v>
      </c>
      <c r="G152" t="s">
        <v>20</v>
      </c>
    </row>
    <row r="153" spans="1:7" x14ac:dyDescent="0.25">
      <c r="A153">
        <v>388</v>
      </c>
      <c r="B153">
        <v>2022</v>
      </c>
      <c r="C153" t="s">
        <v>7</v>
      </c>
      <c r="D153" t="s">
        <v>306</v>
      </c>
      <c r="E153" t="s">
        <v>311</v>
      </c>
      <c r="F153" t="s">
        <v>1837</v>
      </c>
      <c r="G153" t="s">
        <v>20</v>
      </c>
    </row>
    <row r="154" spans="1:7" x14ac:dyDescent="0.25">
      <c r="A154">
        <v>409</v>
      </c>
      <c r="B154">
        <v>2022</v>
      </c>
      <c r="C154" t="s">
        <v>7</v>
      </c>
      <c r="D154" t="s">
        <v>306</v>
      </c>
      <c r="E154" t="s">
        <v>360</v>
      </c>
      <c r="F154" t="s">
        <v>9</v>
      </c>
      <c r="G154" t="s">
        <v>10</v>
      </c>
    </row>
    <row r="155" spans="1:7" x14ac:dyDescent="0.25">
      <c r="A155">
        <v>415</v>
      </c>
      <c r="B155">
        <v>2022</v>
      </c>
      <c r="C155" t="s">
        <v>7</v>
      </c>
      <c r="D155" t="s">
        <v>306</v>
      </c>
      <c r="E155" t="s">
        <v>365</v>
      </c>
      <c r="F155" t="s">
        <v>1837</v>
      </c>
      <c r="G155" t="s">
        <v>14</v>
      </c>
    </row>
    <row r="156" spans="1:7" x14ac:dyDescent="0.25">
      <c r="A156">
        <v>404</v>
      </c>
      <c r="B156">
        <v>2022</v>
      </c>
      <c r="C156" t="s">
        <v>7</v>
      </c>
      <c r="D156" t="s">
        <v>306</v>
      </c>
      <c r="E156" t="s">
        <v>356</v>
      </c>
      <c r="F156" t="s">
        <v>1837</v>
      </c>
      <c r="G156" t="s">
        <v>14</v>
      </c>
    </row>
    <row r="157" spans="1:7" x14ac:dyDescent="0.25">
      <c r="A157">
        <v>421</v>
      </c>
      <c r="B157">
        <v>2022</v>
      </c>
      <c r="C157" t="s">
        <v>7</v>
      </c>
      <c r="D157" t="s">
        <v>306</v>
      </c>
      <c r="E157" t="s">
        <v>371</v>
      </c>
      <c r="F157" t="s">
        <v>9</v>
      </c>
      <c r="G157" t="s">
        <v>1910</v>
      </c>
    </row>
    <row r="158" spans="1:7" x14ac:dyDescent="0.25">
      <c r="A158">
        <v>408</v>
      </c>
      <c r="B158">
        <v>2022</v>
      </c>
      <c r="C158" t="s">
        <v>7</v>
      </c>
      <c r="D158" t="s">
        <v>306</v>
      </c>
      <c r="E158" t="s">
        <v>359</v>
      </c>
      <c r="F158" t="s">
        <v>9</v>
      </c>
      <c r="G158" t="s">
        <v>1910</v>
      </c>
    </row>
    <row r="159" spans="1:7" x14ac:dyDescent="0.25">
      <c r="A159">
        <v>407</v>
      </c>
      <c r="B159">
        <v>2022</v>
      </c>
      <c r="C159" t="s">
        <v>7</v>
      </c>
      <c r="D159" t="s">
        <v>306</v>
      </c>
      <c r="E159" t="s">
        <v>358</v>
      </c>
      <c r="F159" t="s">
        <v>9</v>
      </c>
      <c r="G159" t="s">
        <v>1910</v>
      </c>
    </row>
    <row r="160" spans="1:7" ht="165" x14ac:dyDescent="0.25">
      <c r="A160">
        <v>400</v>
      </c>
      <c r="B160">
        <v>2022</v>
      </c>
      <c r="C160" t="s">
        <v>7</v>
      </c>
      <c r="D160" t="s">
        <v>306</v>
      </c>
      <c r="E160" s="149" t="s">
        <v>352</v>
      </c>
      <c r="F160" t="s">
        <v>9</v>
      </c>
      <c r="G160" t="s">
        <v>1910</v>
      </c>
    </row>
    <row r="161" spans="1:7" x14ac:dyDescent="0.25">
      <c r="A161">
        <v>429</v>
      </c>
      <c r="B161">
        <v>2022</v>
      </c>
      <c r="C161" t="s">
        <v>7</v>
      </c>
      <c r="D161" t="s">
        <v>306</v>
      </c>
      <c r="E161" t="s">
        <v>377</v>
      </c>
      <c r="F161" t="s">
        <v>11</v>
      </c>
      <c r="G161" t="s">
        <v>1639</v>
      </c>
    </row>
    <row r="162" spans="1:7" x14ac:dyDescent="0.25">
      <c r="A162">
        <v>402</v>
      </c>
      <c r="B162">
        <v>2022</v>
      </c>
      <c r="C162" t="s">
        <v>7</v>
      </c>
      <c r="D162" t="s">
        <v>306</v>
      </c>
      <c r="E162" t="s">
        <v>354</v>
      </c>
      <c r="F162" t="s">
        <v>11</v>
      </c>
      <c r="G162" t="s">
        <v>1639</v>
      </c>
    </row>
    <row r="163" spans="1:7" x14ac:dyDescent="0.25">
      <c r="A163">
        <v>386</v>
      </c>
      <c r="B163">
        <v>2022</v>
      </c>
      <c r="C163" t="s">
        <v>7</v>
      </c>
      <c r="D163" t="s">
        <v>306</v>
      </c>
      <c r="E163" t="s">
        <v>309</v>
      </c>
      <c r="F163" t="s">
        <v>11</v>
      </c>
      <c r="G163" t="s">
        <v>1639</v>
      </c>
    </row>
    <row r="164" spans="1:7" x14ac:dyDescent="0.25">
      <c r="A164">
        <v>394</v>
      </c>
      <c r="B164">
        <v>2022</v>
      </c>
      <c r="C164" t="s">
        <v>7</v>
      </c>
      <c r="D164" t="s">
        <v>306</v>
      </c>
      <c r="E164" t="s">
        <v>348</v>
      </c>
      <c r="F164" t="s">
        <v>1837</v>
      </c>
      <c r="G164" t="s">
        <v>138</v>
      </c>
    </row>
    <row r="165" spans="1:7" x14ac:dyDescent="0.25">
      <c r="A165">
        <v>390</v>
      </c>
      <c r="B165">
        <v>2022</v>
      </c>
      <c r="C165" t="s">
        <v>7</v>
      </c>
      <c r="D165" t="s">
        <v>306</v>
      </c>
      <c r="E165" t="s">
        <v>313</v>
      </c>
      <c r="F165" t="s">
        <v>1837</v>
      </c>
      <c r="G165" t="s">
        <v>138</v>
      </c>
    </row>
    <row r="166" spans="1:7" x14ac:dyDescent="0.25">
      <c r="A166">
        <v>414</v>
      </c>
      <c r="B166">
        <v>2022</v>
      </c>
      <c r="C166" t="s">
        <v>7</v>
      </c>
      <c r="D166" t="s">
        <v>306</v>
      </c>
      <c r="E166" t="s">
        <v>364</v>
      </c>
      <c r="F166" t="s">
        <v>12</v>
      </c>
      <c r="G166" t="s">
        <v>40</v>
      </c>
    </row>
    <row r="167" spans="1:7" x14ac:dyDescent="0.25">
      <c r="A167">
        <v>410</v>
      </c>
      <c r="B167">
        <v>2022</v>
      </c>
      <c r="C167" t="s">
        <v>7</v>
      </c>
      <c r="D167" t="s">
        <v>306</v>
      </c>
      <c r="E167" t="s">
        <v>361</v>
      </c>
      <c r="F167" t="s">
        <v>1837</v>
      </c>
      <c r="G167" t="s">
        <v>56</v>
      </c>
    </row>
    <row r="168" spans="1:7" x14ac:dyDescent="0.25">
      <c r="A168">
        <v>392</v>
      </c>
      <c r="B168">
        <v>2022</v>
      </c>
      <c r="C168" t="s">
        <v>7</v>
      </c>
      <c r="D168" t="s">
        <v>306</v>
      </c>
      <c r="E168" t="s">
        <v>346</v>
      </c>
      <c r="F168" t="s">
        <v>1837</v>
      </c>
      <c r="G168" t="s">
        <v>56</v>
      </c>
    </row>
    <row r="169" spans="1:7" x14ac:dyDescent="0.25">
      <c r="A169">
        <v>431</v>
      </c>
      <c r="B169">
        <v>2022</v>
      </c>
      <c r="C169" t="s">
        <v>7</v>
      </c>
      <c r="D169" t="s">
        <v>306</v>
      </c>
      <c r="E169" t="s">
        <v>379</v>
      </c>
      <c r="F169" t="s">
        <v>12</v>
      </c>
      <c r="G169" t="s">
        <v>13</v>
      </c>
    </row>
    <row r="170" spans="1:7" x14ac:dyDescent="0.25">
      <c r="A170">
        <v>430</v>
      </c>
      <c r="B170">
        <v>2022</v>
      </c>
      <c r="C170" t="s">
        <v>7</v>
      </c>
      <c r="D170" t="s">
        <v>306</v>
      </c>
      <c r="E170" t="s">
        <v>378</v>
      </c>
      <c r="F170" t="s">
        <v>12</v>
      </c>
      <c r="G170" t="s">
        <v>13</v>
      </c>
    </row>
    <row r="171" spans="1:7" x14ac:dyDescent="0.25">
      <c r="A171">
        <v>427</v>
      </c>
      <c r="B171">
        <v>2022</v>
      </c>
      <c r="C171" t="s">
        <v>7</v>
      </c>
      <c r="D171" t="s">
        <v>306</v>
      </c>
      <c r="E171" t="s">
        <v>376</v>
      </c>
      <c r="F171" t="s">
        <v>11</v>
      </c>
      <c r="G171" t="s">
        <v>58</v>
      </c>
    </row>
    <row r="172" spans="1:7" x14ac:dyDescent="0.25">
      <c r="A172">
        <v>419</v>
      </c>
      <c r="B172">
        <v>2022</v>
      </c>
      <c r="C172" t="s">
        <v>7</v>
      </c>
      <c r="D172" t="s">
        <v>306</v>
      </c>
      <c r="E172" t="s">
        <v>369</v>
      </c>
      <c r="F172" t="s">
        <v>11</v>
      </c>
      <c r="G172" t="s">
        <v>58</v>
      </c>
    </row>
    <row r="173" spans="1:7" x14ac:dyDescent="0.25">
      <c r="A173">
        <v>411</v>
      </c>
      <c r="B173">
        <v>2022</v>
      </c>
      <c r="C173" t="s">
        <v>7</v>
      </c>
      <c r="D173" t="s">
        <v>306</v>
      </c>
      <c r="E173" t="s">
        <v>362</v>
      </c>
      <c r="F173" t="s">
        <v>11</v>
      </c>
      <c r="G173" t="s">
        <v>58</v>
      </c>
    </row>
    <row r="174" spans="1:7" x14ac:dyDescent="0.25">
      <c r="A174">
        <v>422</v>
      </c>
      <c r="B174">
        <v>2022</v>
      </c>
      <c r="C174" t="s">
        <v>7</v>
      </c>
      <c r="D174" t="s">
        <v>306</v>
      </c>
      <c r="E174" t="s">
        <v>372</v>
      </c>
      <c r="F174" t="s">
        <v>42</v>
      </c>
      <c r="G174" t="s">
        <v>43</v>
      </c>
    </row>
    <row r="175" spans="1:7" x14ac:dyDescent="0.25">
      <c r="A175">
        <v>398</v>
      </c>
      <c r="B175">
        <v>2022</v>
      </c>
      <c r="C175" t="s">
        <v>7</v>
      </c>
      <c r="D175" t="s">
        <v>306</v>
      </c>
      <c r="E175" t="s">
        <v>351</v>
      </c>
      <c r="F175" t="s">
        <v>42</v>
      </c>
      <c r="G175" t="s">
        <v>43</v>
      </c>
    </row>
    <row r="176" spans="1:7" x14ac:dyDescent="0.25">
      <c r="A176">
        <v>384</v>
      </c>
      <c r="B176">
        <v>2022</v>
      </c>
      <c r="C176" t="s">
        <v>7</v>
      </c>
      <c r="D176" t="s">
        <v>306</v>
      </c>
      <c r="E176" t="s">
        <v>307</v>
      </c>
      <c r="F176" t="s">
        <v>42</v>
      </c>
      <c r="G176" t="s">
        <v>43</v>
      </c>
    </row>
    <row r="177" spans="1:7" x14ac:dyDescent="0.25">
      <c r="A177">
        <v>416</v>
      </c>
      <c r="B177">
        <v>2022</v>
      </c>
      <c r="C177" t="s">
        <v>7</v>
      </c>
      <c r="D177" t="s">
        <v>306</v>
      </c>
      <c r="E177" t="s">
        <v>366</v>
      </c>
      <c r="F177" t="s">
        <v>1837</v>
      </c>
      <c r="G177" t="s">
        <v>107</v>
      </c>
    </row>
    <row r="178" spans="1:7" x14ac:dyDescent="0.25">
      <c r="A178">
        <v>401</v>
      </c>
      <c r="B178">
        <v>2022</v>
      </c>
      <c r="C178" t="s">
        <v>7</v>
      </c>
      <c r="D178" t="s">
        <v>306</v>
      </c>
      <c r="E178" t="s">
        <v>353</v>
      </c>
      <c r="F178" t="s">
        <v>1837</v>
      </c>
      <c r="G178" t="s">
        <v>107</v>
      </c>
    </row>
    <row r="179" spans="1:7" x14ac:dyDescent="0.25">
      <c r="A179">
        <v>396</v>
      </c>
      <c r="B179">
        <v>2022</v>
      </c>
      <c r="C179" t="s">
        <v>7</v>
      </c>
      <c r="D179" t="s">
        <v>306</v>
      </c>
      <c r="E179" t="s">
        <v>350</v>
      </c>
      <c r="F179" t="s">
        <v>16</v>
      </c>
      <c r="G179" t="s">
        <v>103</v>
      </c>
    </row>
    <row r="180" spans="1:7" x14ac:dyDescent="0.25">
      <c r="A180">
        <v>424</v>
      </c>
      <c r="B180">
        <v>2022</v>
      </c>
      <c r="C180" t="s">
        <v>7</v>
      </c>
      <c r="D180" t="s">
        <v>306</v>
      </c>
      <c r="E180" t="s">
        <v>374</v>
      </c>
      <c r="F180" t="s">
        <v>9</v>
      </c>
      <c r="G180" t="s">
        <v>15</v>
      </c>
    </row>
    <row r="181" spans="1:7" x14ac:dyDescent="0.25">
      <c r="A181">
        <v>385</v>
      </c>
      <c r="B181">
        <v>2022</v>
      </c>
      <c r="C181" t="s">
        <v>7</v>
      </c>
      <c r="D181" t="s">
        <v>306</v>
      </c>
      <c r="E181" t="s">
        <v>308</v>
      </c>
      <c r="F181" t="s">
        <v>16</v>
      </c>
      <c r="G181" t="s">
        <v>17</v>
      </c>
    </row>
    <row r="182" spans="1:7" x14ac:dyDescent="0.25">
      <c r="A182">
        <v>395</v>
      </c>
      <c r="B182">
        <v>2022</v>
      </c>
      <c r="C182" t="s">
        <v>7</v>
      </c>
      <c r="D182" t="s">
        <v>306</v>
      </c>
      <c r="E182" t="s">
        <v>349</v>
      </c>
      <c r="F182" t="s">
        <v>1837</v>
      </c>
      <c r="G182" t="s">
        <v>68</v>
      </c>
    </row>
    <row r="183" spans="1:7" x14ac:dyDescent="0.25">
      <c r="A183">
        <v>418</v>
      </c>
      <c r="B183">
        <v>2022</v>
      </c>
      <c r="C183" t="s">
        <v>7</v>
      </c>
      <c r="D183" t="s">
        <v>306</v>
      </c>
      <c r="E183" t="s">
        <v>368</v>
      </c>
      <c r="F183" t="s">
        <v>12</v>
      </c>
      <c r="G183" t="s">
        <v>32</v>
      </c>
    </row>
    <row r="184" spans="1:7" x14ac:dyDescent="0.25">
      <c r="A184">
        <v>403</v>
      </c>
      <c r="B184">
        <v>2022</v>
      </c>
      <c r="C184" t="s">
        <v>7</v>
      </c>
      <c r="D184" t="s">
        <v>306</v>
      </c>
      <c r="E184" t="s">
        <v>355</v>
      </c>
      <c r="F184" t="s">
        <v>12</v>
      </c>
      <c r="G184" t="s">
        <v>32</v>
      </c>
    </row>
    <row r="185" spans="1:7" x14ac:dyDescent="0.25">
      <c r="A185">
        <v>423</v>
      </c>
      <c r="B185">
        <v>2022</v>
      </c>
      <c r="C185" t="s">
        <v>7</v>
      </c>
      <c r="D185" t="s">
        <v>306</v>
      </c>
      <c r="E185" t="s">
        <v>373</v>
      </c>
      <c r="F185" t="s">
        <v>9</v>
      </c>
      <c r="G185" t="s">
        <v>33</v>
      </c>
    </row>
    <row r="186" spans="1:7" x14ac:dyDescent="0.25">
      <c r="A186">
        <v>387</v>
      </c>
      <c r="B186">
        <v>2022</v>
      </c>
      <c r="C186" t="s">
        <v>7</v>
      </c>
      <c r="D186" t="s">
        <v>306</v>
      </c>
      <c r="E186" t="s">
        <v>310</v>
      </c>
      <c r="F186" t="s">
        <v>9</v>
      </c>
      <c r="G186" t="s">
        <v>33</v>
      </c>
    </row>
    <row r="187" spans="1:7" x14ac:dyDescent="0.25">
      <c r="A187">
        <v>413</v>
      </c>
      <c r="B187">
        <v>2022</v>
      </c>
      <c r="C187" t="s">
        <v>7</v>
      </c>
      <c r="D187" t="s">
        <v>306</v>
      </c>
      <c r="E187" t="s">
        <v>363</v>
      </c>
      <c r="F187" t="s">
        <v>1837</v>
      </c>
      <c r="G187" t="s">
        <v>22</v>
      </c>
    </row>
    <row r="188" spans="1:7" x14ac:dyDescent="0.25">
      <c r="A188">
        <v>406</v>
      </c>
      <c r="B188">
        <v>2022</v>
      </c>
      <c r="C188" t="s">
        <v>7</v>
      </c>
      <c r="D188" t="s">
        <v>306</v>
      </c>
      <c r="E188" t="s">
        <v>357</v>
      </c>
      <c r="F188" t="s">
        <v>1837</v>
      </c>
      <c r="G188" t="s">
        <v>22</v>
      </c>
    </row>
    <row r="189" spans="1:7" x14ac:dyDescent="0.25">
      <c r="A189">
        <v>420</v>
      </c>
      <c r="B189">
        <v>2022</v>
      </c>
      <c r="C189" t="s">
        <v>7</v>
      </c>
      <c r="D189" t="s">
        <v>306</v>
      </c>
      <c r="E189" t="s">
        <v>370</v>
      </c>
      <c r="F189" t="s">
        <v>9</v>
      </c>
      <c r="G189" t="s">
        <v>18</v>
      </c>
    </row>
    <row r="190" spans="1:7" x14ac:dyDescent="0.25">
      <c r="A190">
        <v>417</v>
      </c>
      <c r="B190">
        <v>2022</v>
      </c>
      <c r="C190" t="s">
        <v>7</v>
      </c>
      <c r="D190" t="s">
        <v>306</v>
      </c>
      <c r="E190" t="s">
        <v>367</v>
      </c>
      <c r="F190" t="s">
        <v>9</v>
      </c>
      <c r="G190" t="s">
        <v>18</v>
      </c>
    </row>
    <row r="191" spans="1:7" x14ac:dyDescent="0.25">
      <c r="A191">
        <v>389</v>
      </c>
      <c r="B191">
        <v>2022</v>
      </c>
      <c r="C191" t="s">
        <v>7</v>
      </c>
      <c r="D191" t="s">
        <v>306</v>
      </c>
      <c r="E191" t="s">
        <v>312</v>
      </c>
      <c r="F191" t="s">
        <v>9</v>
      </c>
      <c r="G191" t="s">
        <v>18</v>
      </c>
    </row>
    <row r="192" spans="1:7" x14ac:dyDescent="0.25">
      <c r="A192">
        <v>426</v>
      </c>
      <c r="B192">
        <v>2022</v>
      </c>
      <c r="C192" t="s">
        <v>7</v>
      </c>
      <c r="D192" t="s">
        <v>306</v>
      </c>
      <c r="E192" t="s">
        <v>375</v>
      </c>
      <c r="F192" t="s">
        <v>12</v>
      </c>
      <c r="G192" t="s">
        <v>93</v>
      </c>
    </row>
    <row r="193" spans="1:7" x14ac:dyDescent="0.25">
      <c r="A193">
        <v>663</v>
      </c>
      <c r="B193">
        <v>2022</v>
      </c>
      <c r="C193" t="s">
        <v>7</v>
      </c>
      <c r="D193" t="s">
        <v>541</v>
      </c>
      <c r="E193" t="s">
        <v>542</v>
      </c>
      <c r="F193" t="s">
        <v>1837</v>
      </c>
      <c r="G193" t="s">
        <v>20</v>
      </c>
    </row>
    <row r="194" spans="1:7" x14ac:dyDescent="0.25">
      <c r="A194">
        <v>665</v>
      </c>
      <c r="B194">
        <v>2022</v>
      </c>
      <c r="C194" t="s">
        <v>7</v>
      </c>
      <c r="D194" t="s">
        <v>541</v>
      </c>
      <c r="E194" t="s">
        <v>544</v>
      </c>
      <c r="F194" t="s">
        <v>11</v>
      </c>
      <c r="G194" t="s">
        <v>58</v>
      </c>
    </row>
    <row r="195" spans="1:7" x14ac:dyDescent="0.25">
      <c r="A195">
        <v>664</v>
      </c>
      <c r="B195">
        <v>2022</v>
      </c>
      <c r="C195" t="s">
        <v>7</v>
      </c>
      <c r="D195" t="s">
        <v>541</v>
      </c>
      <c r="E195" t="s">
        <v>543</v>
      </c>
      <c r="F195" t="s">
        <v>11</v>
      </c>
      <c r="G195" t="s">
        <v>58</v>
      </c>
    </row>
    <row r="196" spans="1:7" x14ac:dyDescent="0.25">
      <c r="A196">
        <v>441</v>
      </c>
      <c r="B196">
        <v>2022</v>
      </c>
      <c r="C196" t="s">
        <v>7</v>
      </c>
      <c r="D196" t="s">
        <v>380</v>
      </c>
      <c r="E196" t="s">
        <v>384</v>
      </c>
      <c r="F196" t="s">
        <v>1837</v>
      </c>
      <c r="G196" t="s">
        <v>20</v>
      </c>
    </row>
    <row r="197" spans="1:7" x14ac:dyDescent="0.25">
      <c r="A197">
        <v>440</v>
      </c>
      <c r="B197">
        <v>2022</v>
      </c>
      <c r="C197" t="s">
        <v>7</v>
      </c>
      <c r="D197" t="s">
        <v>380</v>
      </c>
      <c r="E197" t="s">
        <v>383</v>
      </c>
      <c r="F197" t="s">
        <v>1837</v>
      </c>
      <c r="G197" t="s">
        <v>14</v>
      </c>
    </row>
    <row r="198" spans="1:7" x14ac:dyDescent="0.25">
      <c r="A198">
        <v>439</v>
      </c>
      <c r="B198">
        <v>2022</v>
      </c>
      <c r="C198" t="s">
        <v>7</v>
      </c>
      <c r="D198" t="s">
        <v>380</v>
      </c>
      <c r="E198" t="s">
        <v>382</v>
      </c>
      <c r="F198" t="s">
        <v>11</v>
      </c>
      <c r="G198" t="s">
        <v>1639</v>
      </c>
    </row>
    <row r="199" spans="1:7" x14ac:dyDescent="0.25">
      <c r="A199">
        <v>443</v>
      </c>
      <c r="B199">
        <v>2022</v>
      </c>
      <c r="C199" t="s">
        <v>7</v>
      </c>
      <c r="D199" t="s">
        <v>380</v>
      </c>
      <c r="E199" t="s">
        <v>388</v>
      </c>
      <c r="F199" t="s">
        <v>1837</v>
      </c>
      <c r="G199" t="s">
        <v>138</v>
      </c>
    </row>
    <row r="200" spans="1:7" x14ac:dyDescent="0.25">
      <c r="A200">
        <v>438</v>
      </c>
      <c r="B200">
        <v>2022</v>
      </c>
      <c r="C200" t="s">
        <v>7</v>
      </c>
      <c r="D200" t="s">
        <v>380</v>
      </c>
      <c r="E200" t="s">
        <v>381</v>
      </c>
      <c r="F200" t="s">
        <v>1837</v>
      </c>
      <c r="G200" t="s">
        <v>107</v>
      </c>
    </row>
    <row r="201" spans="1:7" x14ac:dyDescent="0.25">
      <c r="A201">
        <v>442</v>
      </c>
      <c r="B201">
        <v>2022</v>
      </c>
      <c r="C201" t="s">
        <v>7</v>
      </c>
      <c r="D201" t="s">
        <v>380</v>
      </c>
      <c r="E201" t="s">
        <v>387</v>
      </c>
      <c r="F201" t="s">
        <v>1837</v>
      </c>
      <c r="G201" t="s">
        <v>68</v>
      </c>
    </row>
    <row r="202" spans="1:7" x14ac:dyDescent="0.25">
      <c r="A202">
        <v>444</v>
      </c>
      <c r="B202">
        <v>2022</v>
      </c>
      <c r="C202" t="s">
        <v>7</v>
      </c>
      <c r="D202" t="s">
        <v>380</v>
      </c>
      <c r="E202" t="s">
        <v>389</v>
      </c>
      <c r="F202" t="s">
        <v>12</v>
      </c>
      <c r="G202" t="s">
        <v>32</v>
      </c>
    </row>
    <row r="203" spans="1:7" x14ac:dyDescent="0.25">
      <c r="A203">
        <v>445</v>
      </c>
      <c r="B203">
        <v>2022</v>
      </c>
      <c r="C203" t="s">
        <v>7</v>
      </c>
      <c r="D203" t="s">
        <v>380</v>
      </c>
      <c r="E203" t="s">
        <v>390</v>
      </c>
      <c r="F203" t="s">
        <v>9</v>
      </c>
      <c r="G203" t="s">
        <v>18</v>
      </c>
    </row>
    <row r="204" spans="1:7" x14ac:dyDescent="0.25">
      <c r="A204">
        <v>457</v>
      </c>
      <c r="B204">
        <v>2022</v>
      </c>
      <c r="C204" t="s">
        <v>7</v>
      </c>
      <c r="D204" t="s">
        <v>391</v>
      </c>
      <c r="E204" t="s">
        <v>393</v>
      </c>
      <c r="F204" t="s">
        <v>1837</v>
      </c>
      <c r="G204" t="s">
        <v>20</v>
      </c>
    </row>
    <row r="205" spans="1:7" x14ac:dyDescent="0.25">
      <c r="A205">
        <v>467</v>
      </c>
      <c r="B205">
        <v>2022</v>
      </c>
      <c r="C205" t="s">
        <v>7</v>
      </c>
      <c r="D205" t="s">
        <v>391</v>
      </c>
      <c r="E205" t="s">
        <v>408</v>
      </c>
      <c r="F205" t="s">
        <v>1837</v>
      </c>
      <c r="G205" t="s">
        <v>14</v>
      </c>
    </row>
    <row r="206" spans="1:7" x14ac:dyDescent="0.25">
      <c r="A206">
        <v>456</v>
      </c>
      <c r="B206">
        <v>2022</v>
      </c>
      <c r="C206" t="s">
        <v>7</v>
      </c>
      <c r="D206" t="s">
        <v>391</v>
      </c>
      <c r="E206" t="s">
        <v>392</v>
      </c>
      <c r="F206" t="s">
        <v>9</v>
      </c>
      <c r="G206" t="s">
        <v>1910</v>
      </c>
    </row>
    <row r="207" spans="1:7" x14ac:dyDescent="0.25">
      <c r="A207">
        <v>464</v>
      </c>
      <c r="B207">
        <v>2022</v>
      </c>
      <c r="C207" t="s">
        <v>7</v>
      </c>
      <c r="D207" t="s">
        <v>391</v>
      </c>
      <c r="E207" t="s">
        <v>406</v>
      </c>
      <c r="F207" t="s">
        <v>9</v>
      </c>
      <c r="G207" t="s">
        <v>26</v>
      </c>
    </row>
    <row r="208" spans="1:7" x14ac:dyDescent="0.25">
      <c r="A208">
        <v>463</v>
      </c>
      <c r="B208">
        <v>2022</v>
      </c>
      <c r="C208" t="s">
        <v>7</v>
      </c>
      <c r="D208" t="s">
        <v>391</v>
      </c>
      <c r="E208" t="s">
        <v>405</v>
      </c>
      <c r="F208" t="s">
        <v>1837</v>
      </c>
      <c r="G208" t="s">
        <v>56</v>
      </c>
    </row>
    <row r="209" spans="1:7" x14ac:dyDescent="0.25">
      <c r="A209">
        <v>460</v>
      </c>
      <c r="B209">
        <v>2022</v>
      </c>
      <c r="C209" t="s">
        <v>7</v>
      </c>
      <c r="D209" t="s">
        <v>391</v>
      </c>
      <c r="E209" t="s">
        <v>403</v>
      </c>
      <c r="F209" t="s">
        <v>1837</v>
      </c>
      <c r="G209" t="s">
        <v>107</v>
      </c>
    </row>
    <row r="210" spans="1:7" x14ac:dyDescent="0.25">
      <c r="A210">
        <v>462</v>
      </c>
      <c r="B210">
        <v>2022</v>
      </c>
      <c r="C210" t="s">
        <v>7</v>
      </c>
      <c r="D210" t="s">
        <v>391</v>
      </c>
      <c r="E210" t="s">
        <v>404</v>
      </c>
      <c r="F210" t="s">
        <v>12</v>
      </c>
      <c r="G210" t="s">
        <v>32</v>
      </c>
    </row>
    <row r="211" spans="1:7" x14ac:dyDescent="0.25">
      <c r="A211">
        <v>466</v>
      </c>
      <c r="B211">
        <v>2022</v>
      </c>
      <c r="C211" t="s">
        <v>7</v>
      </c>
      <c r="D211" t="s">
        <v>391</v>
      </c>
      <c r="E211" t="s">
        <v>407</v>
      </c>
      <c r="F211" t="s">
        <v>9</v>
      </c>
      <c r="G211" t="s">
        <v>33</v>
      </c>
    </row>
    <row r="212" spans="1:7" x14ac:dyDescent="0.25">
      <c r="A212">
        <v>459</v>
      </c>
      <c r="B212">
        <v>2022</v>
      </c>
      <c r="C212" t="s">
        <v>7</v>
      </c>
      <c r="D212" t="s">
        <v>391</v>
      </c>
      <c r="E212" t="s">
        <v>402</v>
      </c>
      <c r="F212" t="s">
        <v>1837</v>
      </c>
      <c r="G212" t="s">
        <v>22</v>
      </c>
    </row>
    <row r="213" spans="1:7" x14ac:dyDescent="0.25">
      <c r="A213">
        <v>487</v>
      </c>
      <c r="B213">
        <v>2022</v>
      </c>
      <c r="C213" t="s">
        <v>7</v>
      </c>
      <c r="D213" t="s">
        <v>409</v>
      </c>
      <c r="E213" t="s">
        <v>422</v>
      </c>
      <c r="F213" t="s">
        <v>1837</v>
      </c>
      <c r="G213" t="s">
        <v>20</v>
      </c>
    </row>
    <row r="214" spans="1:7" x14ac:dyDescent="0.25">
      <c r="A214">
        <v>479</v>
      </c>
      <c r="B214">
        <v>2022</v>
      </c>
      <c r="C214" t="s">
        <v>7</v>
      </c>
      <c r="D214" t="s">
        <v>409</v>
      </c>
      <c r="E214" t="s">
        <v>412</v>
      </c>
      <c r="F214" t="s">
        <v>1837</v>
      </c>
      <c r="G214" t="s">
        <v>20</v>
      </c>
    </row>
    <row r="215" spans="1:7" x14ac:dyDescent="0.25">
      <c r="A215">
        <v>482</v>
      </c>
      <c r="B215">
        <v>2022</v>
      </c>
      <c r="C215" t="s">
        <v>7</v>
      </c>
      <c r="D215" t="s">
        <v>409</v>
      </c>
      <c r="E215" t="s">
        <v>410</v>
      </c>
      <c r="F215" t="s">
        <v>1837</v>
      </c>
      <c r="G215" t="s">
        <v>138</v>
      </c>
    </row>
    <row r="216" spans="1:7" x14ac:dyDescent="0.25">
      <c r="A216">
        <v>483</v>
      </c>
      <c r="B216">
        <v>2022</v>
      </c>
      <c r="C216" t="s">
        <v>7</v>
      </c>
      <c r="D216" t="s">
        <v>409</v>
      </c>
      <c r="E216" t="s">
        <v>416</v>
      </c>
      <c r="F216" t="s">
        <v>1837</v>
      </c>
      <c r="G216" t="s">
        <v>56</v>
      </c>
    </row>
    <row r="217" spans="1:7" x14ac:dyDescent="0.25">
      <c r="A217">
        <v>478</v>
      </c>
      <c r="B217">
        <v>2022</v>
      </c>
      <c r="C217" t="s">
        <v>7</v>
      </c>
      <c r="D217" t="s">
        <v>409</v>
      </c>
      <c r="E217" t="s">
        <v>414</v>
      </c>
      <c r="F217" t="s">
        <v>1837</v>
      </c>
      <c r="G217" t="s">
        <v>56</v>
      </c>
    </row>
    <row r="218" spans="1:7" x14ac:dyDescent="0.25">
      <c r="A218">
        <v>480</v>
      </c>
      <c r="B218">
        <v>2022</v>
      </c>
      <c r="C218" t="s">
        <v>7</v>
      </c>
      <c r="D218" t="s">
        <v>409</v>
      </c>
      <c r="E218" t="s">
        <v>411</v>
      </c>
      <c r="F218" t="s">
        <v>12</v>
      </c>
      <c r="G218" t="s">
        <v>13</v>
      </c>
    </row>
    <row r="219" spans="1:7" x14ac:dyDescent="0.25">
      <c r="A219">
        <v>485</v>
      </c>
      <c r="B219">
        <v>2022</v>
      </c>
      <c r="C219" t="s">
        <v>7</v>
      </c>
      <c r="D219" t="s">
        <v>409</v>
      </c>
      <c r="E219" t="s">
        <v>420</v>
      </c>
      <c r="F219" t="s">
        <v>12</v>
      </c>
      <c r="G219" t="s">
        <v>32</v>
      </c>
    </row>
    <row r="220" spans="1:7" x14ac:dyDescent="0.25">
      <c r="A220">
        <v>481</v>
      </c>
      <c r="B220">
        <v>2022</v>
      </c>
      <c r="C220" t="s">
        <v>7</v>
      </c>
      <c r="D220" t="s">
        <v>409</v>
      </c>
      <c r="E220" t="s">
        <v>413</v>
      </c>
      <c r="F220" t="s">
        <v>1837</v>
      </c>
      <c r="G220" t="s">
        <v>22</v>
      </c>
    </row>
    <row r="221" spans="1:7" x14ac:dyDescent="0.25">
      <c r="A221">
        <v>486</v>
      </c>
      <c r="B221">
        <v>2022</v>
      </c>
      <c r="C221" t="s">
        <v>7</v>
      </c>
      <c r="D221" t="s">
        <v>409</v>
      </c>
      <c r="E221" t="s">
        <v>421</v>
      </c>
      <c r="F221" t="s">
        <v>9</v>
      </c>
      <c r="G221" t="s">
        <v>18</v>
      </c>
    </row>
    <row r="222" spans="1:7" x14ac:dyDescent="0.25">
      <c r="A222">
        <v>504</v>
      </c>
      <c r="B222">
        <v>2022</v>
      </c>
      <c r="C222" t="s">
        <v>7</v>
      </c>
      <c r="D222" t="s">
        <v>423</v>
      </c>
      <c r="E222" t="s">
        <v>431</v>
      </c>
      <c r="F222" t="s">
        <v>1837</v>
      </c>
      <c r="G222" t="s">
        <v>20</v>
      </c>
    </row>
    <row r="223" spans="1:7" x14ac:dyDescent="0.25">
      <c r="A223">
        <v>501</v>
      </c>
      <c r="B223">
        <v>2022</v>
      </c>
      <c r="C223" t="s">
        <v>7</v>
      </c>
      <c r="D223" t="s">
        <v>423</v>
      </c>
      <c r="E223" t="s">
        <v>427</v>
      </c>
      <c r="F223" t="s">
        <v>1837</v>
      </c>
      <c r="G223" t="s">
        <v>14</v>
      </c>
    </row>
    <row r="224" spans="1:7" x14ac:dyDescent="0.25">
      <c r="A224">
        <v>499</v>
      </c>
      <c r="B224">
        <v>2022</v>
      </c>
      <c r="C224" t="s">
        <v>7</v>
      </c>
      <c r="D224" t="s">
        <v>423</v>
      </c>
      <c r="E224" t="s">
        <v>426</v>
      </c>
      <c r="F224" t="s">
        <v>9</v>
      </c>
      <c r="G224" t="s">
        <v>1910</v>
      </c>
    </row>
    <row r="225" spans="1:7" x14ac:dyDescent="0.25">
      <c r="A225">
        <v>503</v>
      </c>
      <c r="B225">
        <v>2022</v>
      </c>
      <c r="C225" t="s">
        <v>7</v>
      </c>
      <c r="D225" t="s">
        <v>423</v>
      </c>
      <c r="E225" t="s">
        <v>430</v>
      </c>
      <c r="F225" t="s">
        <v>1837</v>
      </c>
      <c r="G225" t="s">
        <v>56</v>
      </c>
    </row>
    <row r="226" spans="1:7" x14ac:dyDescent="0.25">
      <c r="A226">
        <v>500</v>
      </c>
      <c r="B226">
        <v>2022</v>
      </c>
      <c r="C226" t="s">
        <v>7</v>
      </c>
      <c r="D226" t="s">
        <v>423</v>
      </c>
      <c r="E226" t="s">
        <v>436</v>
      </c>
      <c r="F226" t="s">
        <v>12</v>
      </c>
      <c r="G226" t="s">
        <v>13</v>
      </c>
    </row>
    <row r="227" spans="1:7" x14ac:dyDescent="0.25">
      <c r="A227">
        <v>508</v>
      </c>
      <c r="B227">
        <v>2022</v>
      </c>
      <c r="C227" t="s">
        <v>7</v>
      </c>
      <c r="D227" t="s">
        <v>423</v>
      </c>
      <c r="E227" t="s">
        <v>439</v>
      </c>
      <c r="F227" t="s">
        <v>12</v>
      </c>
      <c r="G227" t="s">
        <v>32</v>
      </c>
    </row>
    <row r="228" spans="1:7" x14ac:dyDescent="0.25">
      <c r="A228">
        <v>506</v>
      </c>
      <c r="B228">
        <v>2022</v>
      </c>
      <c r="C228" t="s">
        <v>7</v>
      </c>
      <c r="D228" t="s">
        <v>423</v>
      </c>
      <c r="E228" t="s">
        <v>433</v>
      </c>
      <c r="F228" t="s">
        <v>12</v>
      </c>
      <c r="G228" t="s">
        <v>32</v>
      </c>
    </row>
    <row r="229" spans="1:7" x14ac:dyDescent="0.25">
      <c r="A229">
        <v>507</v>
      </c>
      <c r="B229">
        <v>2022</v>
      </c>
      <c r="C229" t="s">
        <v>7</v>
      </c>
      <c r="D229" t="s">
        <v>423</v>
      </c>
      <c r="E229" t="s">
        <v>434</v>
      </c>
      <c r="F229" t="s">
        <v>9</v>
      </c>
      <c r="G229" t="s">
        <v>33</v>
      </c>
    </row>
    <row r="230" spans="1:7" x14ac:dyDescent="0.25">
      <c r="A230">
        <v>502</v>
      </c>
      <c r="B230">
        <v>2022</v>
      </c>
      <c r="C230" t="s">
        <v>7</v>
      </c>
      <c r="D230" t="s">
        <v>423</v>
      </c>
      <c r="E230" t="s">
        <v>437</v>
      </c>
      <c r="F230" t="s">
        <v>1837</v>
      </c>
      <c r="G230" t="s">
        <v>22</v>
      </c>
    </row>
    <row r="231" spans="1:7" x14ac:dyDescent="0.25">
      <c r="A231">
        <v>498</v>
      </c>
      <c r="B231">
        <v>2022</v>
      </c>
      <c r="C231" t="s">
        <v>7</v>
      </c>
      <c r="D231" t="s">
        <v>423</v>
      </c>
      <c r="E231" t="s">
        <v>428</v>
      </c>
      <c r="F231" t="s">
        <v>1837</v>
      </c>
      <c r="G231" t="s">
        <v>22</v>
      </c>
    </row>
    <row r="232" spans="1:7" x14ac:dyDescent="0.25">
      <c r="A232">
        <v>505</v>
      </c>
      <c r="B232">
        <v>2022</v>
      </c>
      <c r="C232" t="s">
        <v>7</v>
      </c>
      <c r="D232" t="s">
        <v>423</v>
      </c>
      <c r="E232" t="s">
        <v>438</v>
      </c>
      <c r="F232" t="s">
        <v>9</v>
      </c>
      <c r="G232" t="s">
        <v>18</v>
      </c>
    </row>
    <row r="233" spans="1:7" x14ac:dyDescent="0.25">
      <c r="A233">
        <v>509</v>
      </c>
      <c r="B233">
        <v>2022</v>
      </c>
      <c r="C233" t="s">
        <v>7</v>
      </c>
      <c r="D233" t="s">
        <v>423</v>
      </c>
      <c r="E233" t="s">
        <v>440</v>
      </c>
      <c r="F233" t="s">
        <v>16</v>
      </c>
      <c r="G233" t="s">
        <v>106</v>
      </c>
    </row>
    <row r="234" spans="1:7" x14ac:dyDescent="0.25">
      <c r="A234">
        <v>657</v>
      </c>
      <c r="B234">
        <v>2022</v>
      </c>
      <c r="C234" t="s">
        <v>7</v>
      </c>
      <c r="D234" t="s">
        <v>507</v>
      </c>
      <c r="E234" t="s">
        <v>535</v>
      </c>
      <c r="F234" t="s">
        <v>1837</v>
      </c>
      <c r="G234" t="s">
        <v>20</v>
      </c>
    </row>
    <row r="235" spans="1:7" x14ac:dyDescent="0.25">
      <c r="A235">
        <v>646</v>
      </c>
      <c r="B235">
        <v>2022</v>
      </c>
      <c r="C235" t="s">
        <v>7</v>
      </c>
      <c r="D235" t="s">
        <v>507</v>
      </c>
      <c r="E235" t="s">
        <v>526</v>
      </c>
      <c r="F235" t="s">
        <v>59</v>
      </c>
      <c r="G235" t="s">
        <v>60</v>
      </c>
    </row>
    <row r="236" spans="1:7" x14ac:dyDescent="0.25">
      <c r="A236">
        <v>661</v>
      </c>
      <c r="B236">
        <v>2022</v>
      </c>
      <c r="C236" t="s">
        <v>7</v>
      </c>
      <c r="D236" t="s">
        <v>507</v>
      </c>
      <c r="E236" t="s">
        <v>539</v>
      </c>
      <c r="F236" t="s">
        <v>1837</v>
      </c>
      <c r="G236" t="s">
        <v>14</v>
      </c>
    </row>
    <row r="237" spans="1:7" x14ac:dyDescent="0.25">
      <c r="A237">
        <v>656</v>
      </c>
      <c r="B237">
        <v>2022</v>
      </c>
      <c r="C237" t="s">
        <v>7</v>
      </c>
      <c r="D237" t="s">
        <v>507</v>
      </c>
      <c r="E237" t="s">
        <v>534</v>
      </c>
      <c r="F237" t="s">
        <v>1837</v>
      </c>
      <c r="G237" t="s">
        <v>14</v>
      </c>
    </row>
    <row r="238" spans="1:7" x14ac:dyDescent="0.25">
      <c r="A238">
        <v>648</v>
      </c>
      <c r="B238">
        <v>2022</v>
      </c>
      <c r="C238" t="s">
        <v>7</v>
      </c>
      <c r="D238" t="s">
        <v>507</v>
      </c>
      <c r="E238" t="s">
        <v>527</v>
      </c>
      <c r="F238" t="s">
        <v>9</v>
      </c>
      <c r="G238" t="s">
        <v>1910</v>
      </c>
    </row>
    <row r="239" spans="1:7" x14ac:dyDescent="0.25">
      <c r="A239">
        <v>662</v>
      </c>
      <c r="B239">
        <v>2022</v>
      </c>
      <c r="C239" t="s">
        <v>7</v>
      </c>
      <c r="D239" t="s">
        <v>507</v>
      </c>
      <c r="E239" t="s">
        <v>540</v>
      </c>
      <c r="F239" t="s">
        <v>1837</v>
      </c>
      <c r="G239" t="s">
        <v>138</v>
      </c>
    </row>
    <row r="240" spans="1:7" x14ac:dyDescent="0.25">
      <c r="A240">
        <v>659</v>
      </c>
      <c r="B240">
        <v>2022</v>
      </c>
      <c r="C240" t="s">
        <v>7</v>
      </c>
      <c r="D240" t="s">
        <v>507</v>
      </c>
      <c r="E240" t="s">
        <v>537</v>
      </c>
      <c r="F240" t="s">
        <v>1837</v>
      </c>
      <c r="G240" t="s">
        <v>138</v>
      </c>
    </row>
    <row r="241" spans="1:7" x14ac:dyDescent="0.25">
      <c r="A241">
        <v>641</v>
      </c>
      <c r="B241">
        <v>2022</v>
      </c>
      <c r="C241" t="s">
        <v>7</v>
      </c>
      <c r="D241" t="s">
        <v>507</v>
      </c>
      <c r="E241" t="s">
        <v>513</v>
      </c>
      <c r="F241" t="s">
        <v>1837</v>
      </c>
      <c r="G241" t="s">
        <v>62</v>
      </c>
    </row>
    <row r="242" spans="1:7" x14ac:dyDescent="0.25">
      <c r="A242">
        <v>654</v>
      </c>
      <c r="B242">
        <v>2022</v>
      </c>
      <c r="C242" t="s">
        <v>7</v>
      </c>
      <c r="D242" t="s">
        <v>507</v>
      </c>
      <c r="E242" t="s">
        <v>532</v>
      </c>
      <c r="F242" t="s">
        <v>16</v>
      </c>
      <c r="G242" t="s">
        <v>144</v>
      </c>
    </row>
    <row r="243" spans="1:7" x14ac:dyDescent="0.25">
      <c r="A243">
        <v>643</v>
      </c>
      <c r="B243">
        <v>2022</v>
      </c>
      <c r="C243" t="s">
        <v>7</v>
      </c>
      <c r="D243" t="s">
        <v>507</v>
      </c>
      <c r="E243" t="s">
        <v>515</v>
      </c>
      <c r="F243" t="s">
        <v>16</v>
      </c>
      <c r="G243" t="s">
        <v>144</v>
      </c>
    </row>
    <row r="244" spans="1:7" x14ac:dyDescent="0.25">
      <c r="A244">
        <v>642</v>
      </c>
      <c r="B244">
        <v>2022</v>
      </c>
      <c r="C244" t="s">
        <v>7</v>
      </c>
      <c r="D244" t="s">
        <v>507</v>
      </c>
      <c r="E244" t="s">
        <v>514</v>
      </c>
      <c r="F244" t="s">
        <v>16</v>
      </c>
      <c r="G244" t="s">
        <v>144</v>
      </c>
    </row>
    <row r="245" spans="1:7" x14ac:dyDescent="0.25">
      <c r="A245">
        <v>652</v>
      </c>
      <c r="B245">
        <v>2022</v>
      </c>
      <c r="C245" t="s">
        <v>7</v>
      </c>
      <c r="D245" t="s">
        <v>507</v>
      </c>
      <c r="E245" t="s">
        <v>530</v>
      </c>
      <c r="F245" t="s">
        <v>12</v>
      </c>
      <c r="G245" t="s">
        <v>13</v>
      </c>
    </row>
    <row r="246" spans="1:7" x14ac:dyDescent="0.25">
      <c r="A246">
        <v>640</v>
      </c>
      <c r="B246">
        <v>2022</v>
      </c>
      <c r="C246" t="s">
        <v>7</v>
      </c>
      <c r="D246" t="s">
        <v>507</v>
      </c>
      <c r="E246" t="s">
        <v>512</v>
      </c>
      <c r="F246" t="s">
        <v>1837</v>
      </c>
      <c r="G246" t="s">
        <v>70</v>
      </c>
    </row>
    <row r="247" spans="1:7" x14ac:dyDescent="0.25">
      <c r="A247">
        <v>653</v>
      </c>
      <c r="B247">
        <v>2022</v>
      </c>
      <c r="C247" t="s">
        <v>7</v>
      </c>
      <c r="D247" t="s">
        <v>507</v>
      </c>
      <c r="E247" t="s">
        <v>531</v>
      </c>
      <c r="F247" t="s">
        <v>11</v>
      </c>
      <c r="G247" t="s">
        <v>58</v>
      </c>
    </row>
    <row r="248" spans="1:7" x14ac:dyDescent="0.25">
      <c r="A248">
        <v>650</v>
      </c>
      <c r="B248">
        <v>2022</v>
      </c>
      <c r="C248" t="s">
        <v>7</v>
      </c>
      <c r="D248" t="s">
        <v>507</v>
      </c>
      <c r="E248" t="s">
        <v>529</v>
      </c>
      <c r="F248" t="s">
        <v>11</v>
      </c>
      <c r="G248" t="s">
        <v>58</v>
      </c>
    </row>
    <row r="249" spans="1:7" x14ac:dyDescent="0.25">
      <c r="A249">
        <v>638</v>
      </c>
      <c r="B249">
        <v>2022</v>
      </c>
      <c r="C249" t="s">
        <v>7</v>
      </c>
      <c r="D249" t="s">
        <v>507</v>
      </c>
      <c r="E249" t="s">
        <v>510</v>
      </c>
      <c r="F249" t="s">
        <v>11</v>
      </c>
      <c r="G249" t="s">
        <v>58</v>
      </c>
    </row>
    <row r="250" spans="1:7" x14ac:dyDescent="0.25">
      <c r="A250">
        <v>649</v>
      </c>
      <c r="B250">
        <v>2022</v>
      </c>
      <c r="C250" t="s">
        <v>7</v>
      </c>
      <c r="D250" t="s">
        <v>507</v>
      </c>
      <c r="E250" t="s">
        <v>528</v>
      </c>
      <c r="F250" t="s">
        <v>12</v>
      </c>
      <c r="G250" t="s">
        <v>35</v>
      </c>
    </row>
    <row r="251" spans="1:7" x14ac:dyDescent="0.25">
      <c r="A251">
        <v>660</v>
      </c>
      <c r="B251">
        <v>2022</v>
      </c>
      <c r="C251" t="s">
        <v>7</v>
      </c>
      <c r="D251" t="s">
        <v>507</v>
      </c>
      <c r="E251" t="s">
        <v>538</v>
      </c>
      <c r="F251" t="s">
        <v>16</v>
      </c>
      <c r="G251" t="s">
        <v>17</v>
      </c>
    </row>
    <row r="252" spans="1:7" x14ac:dyDescent="0.25">
      <c r="A252">
        <v>658</v>
      </c>
      <c r="B252">
        <v>2022</v>
      </c>
      <c r="C252" t="s">
        <v>7</v>
      </c>
      <c r="D252" t="s">
        <v>507</v>
      </c>
      <c r="E252" t="s">
        <v>536</v>
      </c>
      <c r="F252" t="s">
        <v>16</v>
      </c>
      <c r="G252" t="s">
        <v>17</v>
      </c>
    </row>
    <row r="253" spans="1:7" x14ac:dyDescent="0.25">
      <c r="A253">
        <v>655</v>
      </c>
      <c r="B253">
        <v>2022</v>
      </c>
      <c r="C253" t="s">
        <v>7</v>
      </c>
      <c r="D253" t="s">
        <v>507</v>
      </c>
      <c r="E253" t="s">
        <v>533</v>
      </c>
      <c r="F253" t="s">
        <v>16</v>
      </c>
      <c r="G253" t="s">
        <v>17</v>
      </c>
    </row>
    <row r="254" spans="1:7" x14ac:dyDescent="0.25">
      <c r="A254">
        <v>636</v>
      </c>
      <c r="B254">
        <v>2022</v>
      </c>
      <c r="C254" t="s">
        <v>7</v>
      </c>
      <c r="D254" t="s">
        <v>507</v>
      </c>
      <c r="E254" t="s">
        <v>508</v>
      </c>
      <c r="F254" t="s">
        <v>1837</v>
      </c>
      <c r="G254" t="s">
        <v>68</v>
      </c>
    </row>
    <row r="255" spans="1:7" x14ac:dyDescent="0.25">
      <c r="A255">
        <v>637</v>
      </c>
      <c r="B255">
        <v>2022</v>
      </c>
      <c r="C255" t="s">
        <v>7</v>
      </c>
      <c r="D255" t="s">
        <v>507</v>
      </c>
      <c r="E255" t="s">
        <v>509</v>
      </c>
      <c r="F255" t="s">
        <v>9</v>
      </c>
      <c r="G255" t="s">
        <v>33</v>
      </c>
    </row>
    <row r="256" spans="1:7" x14ac:dyDescent="0.25">
      <c r="A256">
        <v>645</v>
      </c>
      <c r="B256">
        <v>2022</v>
      </c>
      <c r="C256" t="s">
        <v>7</v>
      </c>
      <c r="D256" t="s">
        <v>507</v>
      </c>
      <c r="E256" t="s">
        <v>525</v>
      </c>
      <c r="F256" t="s">
        <v>1837</v>
      </c>
      <c r="G256" t="s">
        <v>22</v>
      </c>
    </row>
    <row r="257" spans="1:7" x14ac:dyDescent="0.25">
      <c r="A257">
        <v>639</v>
      </c>
      <c r="B257">
        <v>2022</v>
      </c>
      <c r="C257" t="s">
        <v>7</v>
      </c>
      <c r="D257" t="s">
        <v>507</v>
      </c>
      <c r="E257" t="s">
        <v>511</v>
      </c>
      <c r="F257" t="s">
        <v>9</v>
      </c>
      <c r="G257" t="s">
        <v>18</v>
      </c>
    </row>
    <row r="258" spans="1:7" x14ac:dyDescent="0.25">
      <c r="A258">
        <v>529</v>
      </c>
      <c r="B258">
        <v>2022</v>
      </c>
      <c r="C258" t="s">
        <v>7</v>
      </c>
      <c r="D258" t="s">
        <v>441</v>
      </c>
      <c r="E258" t="s">
        <v>443</v>
      </c>
      <c r="F258" t="s">
        <v>1837</v>
      </c>
      <c r="G258" t="s">
        <v>20</v>
      </c>
    </row>
    <row r="259" spans="1:7" x14ac:dyDescent="0.25">
      <c r="A259">
        <v>533</v>
      </c>
      <c r="B259">
        <v>2022</v>
      </c>
      <c r="C259" t="s">
        <v>7</v>
      </c>
      <c r="D259" t="s">
        <v>441</v>
      </c>
      <c r="E259" t="s">
        <v>454</v>
      </c>
      <c r="F259" t="s">
        <v>1837</v>
      </c>
      <c r="G259" t="s">
        <v>14</v>
      </c>
    </row>
    <row r="260" spans="1:7" x14ac:dyDescent="0.25">
      <c r="A260">
        <v>524</v>
      </c>
      <c r="B260">
        <v>2022</v>
      </c>
      <c r="C260" t="s">
        <v>7</v>
      </c>
      <c r="D260" t="s">
        <v>441</v>
      </c>
      <c r="E260" t="s">
        <v>449</v>
      </c>
      <c r="F260" t="s">
        <v>104</v>
      </c>
      <c r="G260" t="s">
        <v>105</v>
      </c>
    </row>
    <row r="261" spans="1:7" x14ac:dyDescent="0.25">
      <c r="A261">
        <v>528</v>
      </c>
      <c r="B261">
        <v>2022</v>
      </c>
      <c r="C261" t="s">
        <v>7</v>
      </c>
      <c r="D261" t="s">
        <v>441</v>
      </c>
      <c r="E261" t="s">
        <v>442</v>
      </c>
      <c r="F261" t="s">
        <v>9</v>
      </c>
      <c r="G261" t="s">
        <v>1910</v>
      </c>
    </row>
    <row r="262" spans="1:7" x14ac:dyDescent="0.25">
      <c r="A262">
        <v>525</v>
      </c>
      <c r="B262">
        <v>2022</v>
      </c>
      <c r="C262" t="s">
        <v>7</v>
      </c>
      <c r="D262" t="s">
        <v>441</v>
      </c>
      <c r="E262" t="s">
        <v>450</v>
      </c>
      <c r="F262" t="s">
        <v>9</v>
      </c>
      <c r="G262" t="s">
        <v>1910</v>
      </c>
    </row>
    <row r="263" spans="1:7" x14ac:dyDescent="0.25">
      <c r="A263">
        <v>531</v>
      </c>
      <c r="B263">
        <v>2022</v>
      </c>
      <c r="C263" t="s">
        <v>7</v>
      </c>
      <c r="D263" t="s">
        <v>441</v>
      </c>
      <c r="E263" t="s">
        <v>445</v>
      </c>
      <c r="F263" t="s">
        <v>11</v>
      </c>
      <c r="G263" t="s">
        <v>1639</v>
      </c>
    </row>
    <row r="264" spans="1:7" x14ac:dyDescent="0.25">
      <c r="A264">
        <v>530</v>
      </c>
      <c r="B264">
        <v>2022</v>
      </c>
      <c r="C264" t="s">
        <v>7</v>
      </c>
      <c r="D264" t="s">
        <v>441</v>
      </c>
      <c r="E264" t="s">
        <v>453</v>
      </c>
      <c r="F264" t="s">
        <v>12</v>
      </c>
      <c r="G264" t="s">
        <v>40</v>
      </c>
    </row>
    <row r="265" spans="1:7" x14ac:dyDescent="0.25">
      <c r="A265">
        <v>523</v>
      </c>
      <c r="B265">
        <v>2022</v>
      </c>
      <c r="C265" t="s">
        <v>7</v>
      </c>
      <c r="D265" t="s">
        <v>441</v>
      </c>
      <c r="E265" t="s">
        <v>88</v>
      </c>
      <c r="F265" t="s">
        <v>42</v>
      </c>
      <c r="G265" t="s">
        <v>43</v>
      </c>
    </row>
    <row r="266" spans="1:7" x14ac:dyDescent="0.25">
      <c r="A266">
        <v>526</v>
      </c>
      <c r="B266">
        <v>2022</v>
      </c>
      <c r="C266" t="s">
        <v>7</v>
      </c>
      <c r="D266" t="s">
        <v>441</v>
      </c>
      <c r="E266" t="s">
        <v>451</v>
      </c>
      <c r="F266" t="s">
        <v>12</v>
      </c>
      <c r="G266" t="s">
        <v>32</v>
      </c>
    </row>
    <row r="267" spans="1:7" x14ac:dyDescent="0.25">
      <c r="A267">
        <v>522</v>
      </c>
      <c r="B267">
        <v>2022</v>
      </c>
      <c r="C267" t="s">
        <v>7</v>
      </c>
      <c r="D267" t="s">
        <v>441</v>
      </c>
      <c r="E267" t="s">
        <v>448</v>
      </c>
      <c r="F267" t="s">
        <v>12</v>
      </c>
      <c r="G267" t="s">
        <v>32</v>
      </c>
    </row>
    <row r="268" spans="1:7" x14ac:dyDescent="0.25">
      <c r="A268">
        <v>532</v>
      </c>
      <c r="B268">
        <v>2022</v>
      </c>
      <c r="C268" t="s">
        <v>7</v>
      </c>
      <c r="D268" t="s">
        <v>441</v>
      </c>
      <c r="E268" t="s">
        <v>446</v>
      </c>
      <c r="F268" t="s">
        <v>9</v>
      </c>
      <c r="G268" t="s">
        <v>18</v>
      </c>
    </row>
    <row r="269" spans="1:7" x14ac:dyDescent="0.25">
      <c r="A269">
        <v>527</v>
      </c>
      <c r="B269">
        <v>2022</v>
      </c>
      <c r="C269" t="s">
        <v>7</v>
      </c>
      <c r="D269" t="s">
        <v>441</v>
      </c>
      <c r="E269" t="s">
        <v>452</v>
      </c>
      <c r="F269" t="s">
        <v>9</v>
      </c>
      <c r="G269" t="s">
        <v>18</v>
      </c>
    </row>
    <row r="270" spans="1:7" x14ac:dyDescent="0.25">
      <c r="A270">
        <v>553</v>
      </c>
      <c r="B270">
        <v>2022</v>
      </c>
      <c r="C270" t="s">
        <v>7</v>
      </c>
      <c r="D270" t="s">
        <v>455</v>
      </c>
      <c r="E270" t="s">
        <v>459</v>
      </c>
      <c r="F270" t="s">
        <v>9</v>
      </c>
      <c r="G270" t="s">
        <v>1910</v>
      </c>
    </row>
    <row r="271" spans="1:7" x14ac:dyDescent="0.25">
      <c r="A271">
        <v>552</v>
      </c>
      <c r="B271">
        <v>2022</v>
      </c>
      <c r="C271" t="s">
        <v>7</v>
      </c>
      <c r="D271" t="s">
        <v>455</v>
      </c>
      <c r="E271" t="s">
        <v>458</v>
      </c>
      <c r="F271" t="s">
        <v>9</v>
      </c>
      <c r="G271" t="s">
        <v>173</v>
      </c>
    </row>
    <row r="272" spans="1:7" x14ac:dyDescent="0.25">
      <c r="A272">
        <v>551</v>
      </c>
      <c r="B272">
        <v>2022</v>
      </c>
      <c r="C272" t="s">
        <v>7</v>
      </c>
      <c r="D272" t="s">
        <v>455</v>
      </c>
      <c r="E272" t="s">
        <v>457</v>
      </c>
      <c r="F272" t="s">
        <v>11</v>
      </c>
      <c r="G272" t="s">
        <v>1639</v>
      </c>
    </row>
    <row r="273" spans="1:7" x14ac:dyDescent="0.25">
      <c r="A273">
        <v>559</v>
      </c>
      <c r="B273">
        <v>2022</v>
      </c>
      <c r="C273" t="s">
        <v>7</v>
      </c>
      <c r="D273" t="s">
        <v>455</v>
      </c>
      <c r="E273" t="s">
        <v>474</v>
      </c>
      <c r="F273" t="s">
        <v>1837</v>
      </c>
      <c r="G273" t="s">
        <v>138</v>
      </c>
    </row>
    <row r="274" spans="1:7" x14ac:dyDescent="0.25">
      <c r="A274">
        <v>555</v>
      </c>
      <c r="B274">
        <v>2022</v>
      </c>
      <c r="C274" t="s">
        <v>7</v>
      </c>
      <c r="D274" t="s">
        <v>455</v>
      </c>
      <c r="E274" t="s">
        <v>461</v>
      </c>
      <c r="F274" t="s">
        <v>1837</v>
      </c>
      <c r="G274" t="s">
        <v>138</v>
      </c>
    </row>
    <row r="275" spans="1:7" x14ac:dyDescent="0.25">
      <c r="A275">
        <v>554</v>
      </c>
      <c r="B275">
        <v>2022</v>
      </c>
      <c r="C275" t="s">
        <v>7</v>
      </c>
      <c r="D275" t="s">
        <v>455</v>
      </c>
      <c r="E275" t="s">
        <v>471</v>
      </c>
      <c r="F275" t="s">
        <v>9</v>
      </c>
      <c r="G275" t="s">
        <v>26</v>
      </c>
    </row>
    <row r="276" spans="1:7" x14ac:dyDescent="0.25">
      <c r="A276">
        <v>557</v>
      </c>
      <c r="B276">
        <v>2022</v>
      </c>
      <c r="C276" t="s">
        <v>7</v>
      </c>
      <c r="D276" t="s">
        <v>455</v>
      </c>
      <c r="E276" t="s">
        <v>472</v>
      </c>
      <c r="F276" t="s">
        <v>12</v>
      </c>
      <c r="G276" t="s">
        <v>1573</v>
      </c>
    </row>
    <row r="277" spans="1:7" x14ac:dyDescent="0.25">
      <c r="A277">
        <v>565</v>
      </c>
      <c r="B277">
        <v>2022</v>
      </c>
      <c r="C277" t="s">
        <v>7</v>
      </c>
      <c r="D277" t="s">
        <v>455</v>
      </c>
      <c r="E277" t="s">
        <v>480</v>
      </c>
      <c r="F277" t="s">
        <v>11</v>
      </c>
      <c r="G277" t="s">
        <v>58</v>
      </c>
    </row>
    <row r="278" spans="1:7" x14ac:dyDescent="0.25">
      <c r="A278">
        <v>562</v>
      </c>
      <c r="B278">
        <v>2022</v>
      </c>
      <c r="C278" t="s">
        <v>7</v>
      </c>
      <c r="D278" t="s">
        <v>455</v>
      </c>
      <c r="E278" t="s">
        <v>477</v>
      </c>
      <c r="F278" t="s">
        <v>42</v>
      </c>
      <c r="G278" t="s">
        <v>43</v>
      </c>
    </row>
    <row r="279" spans="1:7" x14ac:dyDescent="0.25">
      <c r="A279">
        <v>558</v>
      </c>
      <c r="B279">
        <v>2022</v>
      </c>
      <c r="C279" t="s">
        <v>7</v>
      </c>
      <c r="D279" t="s">
        <v>455</v>
      </c>
      <c r="E279" t="s">
        <v>473</v>
      </c>
      <c r="F279" t="s">
        <v>42</v>
      </c>
      <c r="G279" t="s">
        <v>43</v>
      </c>
    </row>
    <row r="280" spans="1:7" x14ac:dyDescent="0.25">
      <c r="A280">
        <v>550</v>
      </c>
      <c r="B280">
        <v>2022</v>
      </c>
      <c r="C280" t="s">
        <v>7</v>
      </c>
      <c r="D280" t="s">
        <v>455</v>
      </c>
      <c r="E280" t="s">
        <v>456</v>
      </c>
      <c r="F280" t="s">
        <v>42</v>
      </c>
      <c r="G280" t="s">
        <v>43</v>
      </c>
    </row>
    <row r="281" spans="1:7" x14ac:dyDescent="0.25">
      <c r="A281">
        <v>563</v>
      </c>
      <c r="B281">
        <v>2022</v>
      </c>
      <c r="C281" t="s">
        <v>7</v>
      </c>
      <c r="D281" t="s">
        <v>455</v>
      </c>
      <c r="E281" t="s">
        <v>478</v>
      </c>
      <c r="F281" t="s">
        <v>12</v>
      </c>
      <c r="G281" t="s">
        <v>35</v>
      </c>
    </row>
    <row r="282" spans="1:7" x14ac:dyDescent="0.25">
      <c r="A282">
        <v>560</v>
      </c>
      <c r="B282">
        <v>2022</v>
      </c>
      <c r="C282" t="s">
        <v>7</v>
      </c>
      <c r="D282" t="s">
        <v>455</v>
      </c>
      <c r="E282" t="s">
        <v>475</v>
      </c>
      <c r="F282" t="s">
        <v>16</v>
      </c>
      <c r="G282" t="s">
        <v>17</v>
      </c>
    </row>
    <row r="283" spans="1:7" x14ac:dyDescent="0.25">
      <c r="A283">
        <v>564</v>
      </c>
      <c r="B283">
        <v>2022</v>
      </c>
      <c r="C283" t="s">
        <v>7</v>
      </c>
      <c r="D283" t="s">
        <v>455</v>
      </c>
      <c r="E283" t="s">
        <v>479</v>
      </c>
      <c r="F283" t="s">
        <v>1837</v>
      </c>
      <c r="G283" t="s">
        <v>22</v>
      </c>
    </row>
    <row r="284" spans="1:7" x14ac:dyDescent="0.25">
      <c r="A284">
        <v>561</v>
      </c>
      <c r="B284">
        <v>2022</v>
      </c>
      <c r="C284" t="s">
        <v>7</v>
      </c>
      <c r="D284" t="s">
        <v>455</v>
      </c>
      <c r="E284" t="s">
        <v>476</v>
      </c>
      <c r="F284" t="s">
        <v>9</v>
      </c>
      <c r="G284" t="s">
        <v>18</v>
      </c>
    </row>
    <row r="285" spans="1:7" x14ac:dyDescent="0.25">
      <c r="A285">
        <v>601</v>
      </c>
      <c r="B285">
        <v>2022</v>
      </c>
      <c r="C285" t="s">
        <v>7</v>
      </c>
      <c r="D285" t="s">
        <v>481</v>
      </c>
      <c r="E285" t="s">
        <v>495</v>
      </c>
      <c r="F285" t="s">
        <v>9</v>
      </c>
      <c r="G285" t="s">
        <v>10</v>
      </c>
    </row>
    <row r="286" spans="1:7" x14ac:dyDescent="0.25">
      <c r="A286">
        <v>608</v>
      </c>
      <c r="B286">
        <v>2022</v>
      </c>
      <c r="C286" t="s">
        <v>7</v>
      </c>
      <c r="D286" t="s">
        <v>481</v>
      </c>
      <c r="E286" t="s">
        <v>502</v>
      </c>
      <c r="F286" t="s">
        <v>9</v>
      </c>
      <c r="G286" t="s">
        <v>1910</v>
      </c>
    </row>
    <row r="287" spans="1:7" x14ac:dyDescent="0.25">
      <c r="A287">
        <v>606</v>
      </c>
      <c r="B287">
        <v>2022</v>
      </c>
      <c r="C287" t="s">
        <v>7</v>
      </c>
      <c r="D287" t="s">
        <v>481</v>
      </c>
      <c r="E287" t="s">
        <v>500</v>
      </c>
      <c r="F287" t="s">
        <v>9</v>
      </c>
      <c r="G287" t="s">
        <v>1910</v>
      </c>
    </row>
    <row r="288" spans="1:7" x14ac:dyDescent="0.25">
      <c r="A288">
        <v>607</v>
      </c>
      <c r="B288">
        <v>2022</v>
      </c>
      <c r="C288" t="s">
        <v>7</v>
      </c>
      <c r="D288" t="s">
        <v>481</v>
      </c>
      <c r="E288" t="s">
        <v>501</v>
      </c>
      <c r="F288" t="s">
        <v>9</v>
      </c>
      <c r="G288" t="s">
        <v>26</v>
      </c>
    </row>
    <row r="289" spans="1:7" x14ac:dyDescent="0.25">
      <c r="A289">
        <v>600</v>
      </c>
      <c r="B289">
        <v>2022</v>
      </c>
      <c r="C289" t="s">
        <v>7</v>
      </c>
      <c r="D289" t="s">
        <v>481</v>
      </c>
      <c r="E289" t="s">
        <v>494</v>
      </c>
      <c r="F289" t="s">
        <v>16</v>
      </c>
      <c r="G289" t="s">
        <v>144</v>
      </c>
    </row>
    <row r="290" spans="1:7" x14ac:dyDescent="0.25">
      <c r="A290">
        <v>589</v>
      </c>
      <c r="B290">
        <v>2022</v>
      </c>
      <c r="C290" t="s">
        <v>7</v>
      </c>
      <c r="D290" t="s">
        <v>481</v>
      </c>
      <c r="E290" t="s">
        <v>483</v>
      </c>
      <c r="F290" t="s">
        <v>12</v>
      </c>
      <c r="G290" t="s">
        <v>13</v>
      </c>
    </row>
    <row r="291" spans="1:7" x14ac:dyDescent="0.25">
      <c r="A291">
        <v>613</v>
      </c>
      <c r="B291">
        <v>2022</v>
      </c>
      <c r="C291" t="s">
        <v>7</v>
      </c>
      <c r="D291" t="s">
        <v>481</v>
      </c>
      <c r="E291" t="s">
        <v>506</v>
      </c>
      <c r="F291" t="s">
        <v>1837</v>
      </c>
      <c r="G291" t="s">
        <v>70</v>
      </c>
    </row>
    <row r="292" spans="1:7" x14ac:dyDescent="0.25">
      <c r="A292">
        <v>612</v>
      </c>
      <c r="B292">
        <v>2022</v>
      </c>
      <c r="C292" t="s">
        <v>7</v>
      </c>
      <c r="D292" t="s">
        <v>481</v>
      </c>
      <c r="E292" t="s">
        <v>505</v>
      </c>
      <c r="F292" t="s">
        <v>1837</v>
      </c>
      <c r="G292" t="s">
        <v>70</v>
      </c>
    </row>
    <row r="293" spans="1:7" x14ac:dyDescent="0.25">
      <c r="A293">
        <v>605</v>
      </c>
      <c r="B293">
        <v>2022</v>
      </c>
      <c r="C293" t="s">
        <v>7</v>
      </c>
      <c r="D293" t="s">
        <v>481</v>
      </c>
      <c r="E293" t="s">
        <v>499</v>
      </c>
      <c r="F293" t="s">
        <v>1837</v>
      </c>
      <c r="G293" t="s">
        <v>70</v>
      </c>
    </row>
    <row r="294" spans="1:7" x14ac:dyDescent="0.25">
      <c r="A294">
        <v>598</v>
      </c>
      <c r="B294">
        <v>2022</v>
      </c>
      <c r="C294" t="s">
        <v>7</v>
      </c>
      <c r="D294" t="s">
        <v>481</v>
      </c>
      <c r="E294" t="s">
        <v>492</v>
      </c>
      <c r="F294" t="s">
        <v>1837</v>
      </c>
      <c r="G294" t="s">
        <v>70</v>
      </c>
    </row>
    <row r="295" spans="1:7" x14ac:dyDescent="0.25">
      <c r="A295">
        <v>596</v>
      </c>
      <c r="B295">
        <v>2022</v>
      </c>
      <c r="C295" t="s">
        <v>7</v>
      </c>
      <c r="D295" t="s">
        <v>481</v>
      </c>
      <c r="E295" t="s">
        <v>490</v>
      </c>
      <c r="F295" t="s">
        <v>1837</v>
      </c>
      <c r="G295" t="s">
        <v>70</v>
      </c>
    </row>
    <row r="296" spans="1:7" x14ac:dyDescent="0.25">
      <c r="A296">
        <v>597</v>
      </c>
      <c r="B296">
        <v>2022</v>
      </c>
      <c r="C296" t="s">
        <v>7</v>
      </c>
      <c r="D296" t="s">
        <v>481</v>
      </c>
      <c r="E296" t="s">
        <v>491</v>
      </c>
      <c r="F296" t="s">
        <v>12</v>
      </c>
      <c r="G296" t="s">
        <v>1573</v>
      </c>
    </row>
    <row r="297" spans="1:7" x14ac:dyDescent="0.25">
      <c r="A297">
        <v>609</v>
      </c>
      <c r="B297">
        <v>2022</v>
      </c>
      <c r="C297" t="s">
        <v>7</v>
      </c>
      <c r="D297" t="s">
        <v>481</v>
      </c>
      <c r="E297" t="s">
        <v>503</v>
      </c>
      <c r="F297" t="s">
        <v>11</v>
      </c>
      <c r="G297" t="s">
        <v>58</v>
      </c>
    </row>
    <row r="298" spans="1:7" x14ac:dyDescent="0.25">
      <c r="A298">
        <v>611</v>
      </c>
      <c r="B298">
        <v>2022</v>
      </c>
      <c r="C298" t="s">
        <v>7</v>
      </c>
      <c r="D298" t="s">
        <v>481</v>
      </c>
      <c r="E298" t="s">
        <v>504</v>
      </c>
      <c r="F298" t="s">
        <v>16</v>
      </c>
      <c r="G298" t="s">
        <v>103</v>
      </c>
    </row>
    <row r="299" spans="1:7" x14ac:dyDescent="0.25">
      <c r="A299">
        <v>610</v>
      </c>
      <c r="B299">
        <v>2022</v>
      </c>
      <c r="C299" t="s">
        <v>7</v>
      </c>
      <c r="D299" t="s">
        <v>481</v>
      </c>
      <c r="E299" t="s">
        <v>2000</v>
      </c>
      <c r="F299" t="s">
        <v>16</v>
      </c>
      <c r="G299" t="s">
        <v>17</v>
      </c>
    </row>
    <row r="300" spans="1:7" x14ac:dyDescent="0.25">
      <c r="A300">
        <v>602</v>
      </c>
      <c r="B300">
        <v>2022</v>
      </c>
      <c r="C300" t="s">
        <v>7</v>
      </c>
      <c r="D300" t="s">
        <v>481</v>
      </c>
      <c r="E300" t="s">
        <v>496</v>
      </c>
      <c r="F300" t="s">
        <v>16</v>
      </c>
      <c r="G300" t="s">
        <v>17</v>
      </c>
    </row>
    <row r="301" spans="1:7" x14ac:dyDescent="0.25">
      <c r="A301">
        <v>590</v>
      </c>
      <c r="B301">
        <v>2022</v>
      </c>
      <c r="C301" t="s">
        <v>7</v>
      </c>
      <c r="D301" t="s">
        <v>481</v>
      </c>
      <c r="E301" t="s">
        <v>485</v>
      </c>
      <c r="F301" t="s">
        <v>1837</v>
      </c>
      <c r="G301" t="s">
        <v>68</v>
      </c>
    </row>
    <row r="302" spans="1:7" x14ac:dyDescent="0.25">
      <c r="A302">
        <v>591</v>
      </c>
      <c r="B302">
        <v>2022</v>
      </c>
      <c r="C302" t="s">
        <v>7</v>
      </c>
      <c r="D302" t="s">
        <v>481</v>
      </c>
      <c r="E302" t="s">
        <v>482</v>
      </c>
      <c r="F302" t="s">
        <v>9</v>
      </c>
      <c r="G302" t="s">
        <v>33</v>
      </c>
    </row>
    <row r="303" spans="1:7" x14ac:dyDescent="0.25">
      <c r="A303">
        <v>604</v>
      </c>
      <c r="B303">
        <v>2022</v>
      </c>
      <c r="C303" t="s">
        <v>7</v>
      </c>
      <c r="D303" t="s">
        <v>481</v>
      </c>
      <c r="E303" t="s">
        <v>498</v>
      </c>
      <c r="F303" t="s">
        <v>1837</v>
      </c>
      <c r="G303" t="s">
        <v>22</v>
      </c>
    </row>
    <row r="304" spans="1:7" x14ac:dyDescent="0.25">
      <c r="A304">
        <v>603</v>
      </c>
      <c r="B304">
        <v>2022</v>
      </c>
      <c r="C304" t="s">
        <v>7</v>
      </c>
      <c r="D304" t="s">
        <v>481</v>
      </c>
      <c r="E304" t="s">
        <v>497</v>
      </c>
      <c r="F304" t="s">
        <v>1837</v>
      </c>
      <c r="G304" t="s">
        <v>22</v>
      </c>
    </row>
    <row r="305" spans="1:7" x14ac:dyDescent="0.25">
      <c r="A305">
        <v>599</v>
      </c>
      <c r="B305">
        <v>2022</v>
      </c>
      <c r="C305" t="s">
        <v>7</v>
      </c>
      <c r="D305" t="s">
        <v>481</v>
      </c>
      <c r="E305" t="s">
        <v>493</v>
      </c>
      <c r="F305" t="s">
        <v>9</v>
      </c>
      <c r="G305" t="s">
        <v>18</v>
      </c>
    </row>
    <row r="306" spans="1:7" x14ac:dyDescent="0.25">
      <c r="A306">
        <v>595</v>
      </c>
      <c r="B306">
        <v>2022</v>
      </c>
      <c r="C306" t="s">
        <v>7</v>
      </c>
      <c r="D306" t="s">
        <v>481</v>
      </c>
      <c r="E306" t="s">
        <v>489</v>
      </c>
      <c r="F306" t="s">
        <v>9</v>
      </c>
      <c r="G306" t="s">
        <v>18</v>
      </c>
    </row>
    <row r="307" spans="1:7" x14ac:dyDescent="0.25">
      <c r="A307">
        <v>593</v>
      </c>
      <c r="B307">
        <v>2022</v>
      </c>
      <c r="C307" t="s">
        <v>7</v>
      </c>
      <c r="D307" t="s">
        <v>481</v>
      </c>
      <c r="E307" t="s">
        <v>486</v>
      </c>
      <c r="F307" t="s">
        <v>1837</v>
      </c>
      <c r="G307" t="s">
        <v>487</v>
      </c>
    </row>
    <row r="308" spans="1:7" x14ac:dyDescent="0.25">
      <c r="A308">
        <v>594</v>
      </c>
      <c r="B308">
        <v>2022</v>
      </c>
      <c r="C308" t="s">
        <v>7</v>
      </c>
      <c r="D308" t="s">
        <v>481</v>
      </c>
      <c r="E308" t="s">
        <v>488</v>
      </c>
      <c r="F308" t="s">
        <v>12</v>
      </c>
      <c r="G308" t="s">
        <v>93</v>
      </c>
    </row>
    <row r="309" spans="1:7" x14ac:dyDescent="0.25">
      <c r="A309">
        <v>592</v>
      </c>
      <c r="B309">
        <v>2022</v>
      </c>
      <c r="C309" t="s">
        <v>7</v>
      </c>
      <c r="D309" t="s">
        <v>481</v>
      </c>
      <c r="E309" t="s">
        <v>484</v>
      </c>
      <c r="F309" t="s">
        <v>12</v>
      </c>
      <c r="G309" t="s">
        <v>93</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
  <sheetViews>
    <sheetView workbookViewId="0">
      <selection sqref="A1:G2"/>
    </sheetView>
  </sheetViews>
  <sheetFormatPr baseColWidth="10" defaultColWidth="11.42578125" defaultRowHeight="15" x14ac:dyDescent="0.25"/>
  <cols>
    <col min="6" max="6" width="16.5703125" customWidth="1"/>
    <col min="7" max="7" width="20.140625" customWidth="1"/>
  </cols>
  <sheetData>
    <row r="1" spans="1:7" x14ac:dyDescent="0.25">
      <c r="A1" t="s">
        <v>0</v>
      </c>
      <c r="B1" t="s">
        <v>1</v>
      </c>
      <c r="C1" t="s">
        <v>2</v>
      </c>
      <c r="D1" t="s">
        <v>3</v>
      </c>
      <c r="E1" t="s">
        <v>4</v>
      </c>
      <c r="F1" t="s">
        <v>5</v>
      </c>
      <c r="G1" t="s">
        <v>6</v>
      </c>
    </row>
    <row r="2" spans="1:7" x14ac:dyDescent="0.25">
      <c r="A2">
        <v>1620</v>
      </c>
      <c r="B2">
        <v>2023</v>
      </c>
      <c r="C2" t="s">
        <v>548</v>
      </c>
      <c r="D2" t="s">
        <v>441</v>
      </c>
      <c r="E2" t="s">
        <v>937</v>
      </c>
      <c r="F2" t="s">
        <v>207</v>
      </c>
      <c r="G2" t="s">
        <v>293</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88DE3-9EC9-41F2-8E73-A584B1277A7D}">
  <dimension ref="A1:AN74"/>
  <sheetViews>
    <sheetView tabSelected="1" view="pageBreakPreview" zoomScale="40" zoomScaleNormal="25" zoomScaleSheetLayoutView="40" workbookViewId="0">
      <selection activeCell="I4" sqref="I4"/>
    </sheetView>
  </sheetViews>
  <sheetFormatPr baseColWidth="10" defaultColWidth="11.42578125" defaultRowHeight="15.75" x14ac:dyDescent="0.2"/>
  <cols>
    <col min="1" max="1" width="39.7109375" style="279" customWidth="1"/>
    <col min="2" max="2" width="44.28515625" style="276" customWidth="1"/>
    <col min="3" max="3" width="42.5703125" style="277" customWidth="1"/>
    <col min="4" max="4" width="32.5703125" style="276" customWidth="1"/>
    <col min="5" max="5" width="26.28515625" style="277" customWidth="1"/>
    <col min="6" max="8" width="26.28515625" style="277" hidden="1" customWidth="1"/>
    <col min="9" max="9" width="93" style="278" customWidth="1"/>
    <col min="10" max="10" width="5" style="270" customWidth="1"/>
    <col min="11" max="11" width="39.7109375" style="279" customWidth="1"/>
    <col min="12" max="12" width="51.140625" style="276" customWidth="1"/>
    <col min="13" max="13" width="27.7109375" style="276" customWidth="1"/>
    <col min="14" max="14" width="26.5703125" style="277" customWidth="1"/>
    <col min="15" max="17" width="26.5703125" style="277" hidden="1" customWidth="1"/>
    <col min="18" max="18" width="100.85546875" style="280" customWidth="1"/>
    <col min="19" max="19" width="4.5703125" style="237" customWidth="1"/>
    <col min="20" max="16384" width="11.42578125" style="237"/>
  </cols>
  <sheetData>
    <row r="1" spans="1:40" s="227" customFormat="1" ht="76.5" customHeight="1" x14ac:dyDescent="0.25">
      <c r="A1" s="220" t="s">
        <v>2056</v>
      </c>
      <c r="B1" s="221"/>
      <c r="C1" s="222" t="s">
        <v>1525</v>
      </c>
      <c r="D1" s="223" t="s">
        <v>2058</v>
      </c>
      <c r="E1" s="224" t="s">
        <v>2059</v>
      </c>
      <c r="F1" s="224" t="s">
        <v>2065</v>
      </c>
      <c r="G1" s="224" t="s">
        <v>2066</v>
      </c>
      <c r="H1" s="224" t="s">
        <v>2067</v>
      </c>
      <c r="I1" s="225" t="s">
        <v>1527</v>
      </c>
      <c r="J1" s="226"/>
      <c r="K1" s="220" t="s">
        <v>2056</v>
      </c>
      <c r="L1" s="221"/>
      <c r="M1" s="223" t="s">
        <v>2060</v>
      </c>
      <c r="N1" s="224" t="s">
        <v>2061</v>
      </c>
      <c r="O1" s="224" t="s">
        <v>2065</v>
      </c>
      <c r="P1" s="224" t="s">
        <v>2066</v>
      </c>
      <c r="Q1" s="224" t="s">
        <v>2067</v>
      </c>
      <c r="R1" s="225" t="s">
        <v>1527</v>
      </c>
    </row>
    <row r="2" spans="1:40" ht="250.5" customHeight="1" x14ac:dyDescent="0.2">
      <c r="A2" s="228" t="s">
        <v>9</v>
      </c>
      <c r="B2" s="223" t="s">
        <v>1884</v>
      </c>
      <c r="C2" s="229" t="s">
        <v>1529</v>
      </c>
      <c r="D2" s="230">
        <v>5</v>
      </c>
      <c r="E2" s="230">
        <v>6</v>
      </c>
      <c r="F2" s="231">
        <v>5</v>
      </c>
      <c r="G2" s="231">
        <v>5</v>
      </c>
      <c r="H2" s="231">
        <v>7</v>
      </c>
      <c r="I2" s="232" t="s">
        <v>2002</v>
      </c>
      <c r="J2" s="233"/>
      <c r="K2" s="228" t="s">
        <v>9</v>
      </c>
      <c r="L2" s="223" t="s">
        <v>1884</v>
      </c>
      <c r="M2" s="234">
        <v>19</v>
      </c>
      <c r="N2" s="230">
        <v>23</v>
      </c>
      <c r="O2" s="231">
        <v>18</v>
      </c>
      <c r="P2" s="235">
        <v>22</v>
      </c>
      <c r="Q2" s="235">
        <v>27</v>
      </c>
      <c r="R2" s="236" t="s">
        <v>1954</v>
      </c>
    </row>
    <row r="3" spans="1:40" ht="132.75" customHeight="1" x14ac:dyDescent="0.2">
      <c r="A3" s="228" t="s">
        <v>9</v>
      </c>
      <c r="B3" s="223" t="s">
        <v>26</v>
      </c>
      <c r="C3" s="229" t="s">
        <v>1532</v>
      </c>
      <c r="D3" s="230">
        <v>7</v>
      </c>
      <c r="E3" s="230">
        <v>9</v>
      </c>
      <c r="F3" s="231">
        <v>9</v>
      </c>
      <c r="G3" s="231">
        <v>7</v>
      </c>
      <c r="H3" s="231">
        <v>5</v>
      </c>
      <c r="I3" s="232" t="s">
        <v>2003</v>
      </c>
      <c r="J3" s="233"/>
      <c r="K3" s="228" t="s">
        <v>9</v>
      </c>
      <c r="L3" s="223" t="s">
        <v>26</v>
      </c>
      <c r="M3" s="234">
        <v>6</v>
      </c>
      <c r="N3" s="230">
        <v>7</v>
      </c>
      <c r="O3" s="231">
        <v>5</v>
      </c>
      <c r="P3" s="235">
        <v>7</v>
      </c>
      <c r="Q3" s="235">
        <v>8</v>
      </c>
      <c r="R3" s="236" t="s">
        <v>2021</v>
      </c>
    </row>
    <row r="4" spans="1:40" ht="178.5" customHeight="1" x14ac:dyDescent="0.2">
      <c r="A4" s="228" t="s">
        <v>9</v>
      </c>
      <c r="B4" s="223" t="s">
        <v>173</v>
      </c>
      <c r="C4" s="229" t="s">
        <v>1535</v>
      </c>
      <c r="D4" s="230">
        <v>4</v>
      </c>
      <c r="E4" s="230">
        <v>3</v>
      </c>
      <c r="F4" s="231">
        <v>3</v>
      </c>
      <c r="G4" s="231">
        <v>4</v>
      </c>
      <c r="H4" s="231">
        <v>6</v>
      </c>
      <c r="I4" s="232" t="s">
        <v>2004</v>
      </c>
      <c r="J4" s="233"/>
      <c r="K4" s="228" t="s">
        <v>9</v>
      </c>
      <c r="L4" s="223" t="s">
        <v>173</v>
      </c>
      <c r="M4" s="234">
        <v>8</v>
      </c>
      <c r="N4" s="230">
        <v>9</v>
      </c>
      <c r="O4" s="231">
        <v>10</v>
      </c>
      <c r="P4" s="235">
        <v>14</v>
      </c>
      <c r="Q4" s="235">
        <v>17</v>
      </c>
      <c r="R4" s="236" t="s">
        <v>2022</v>
      </c>
    </row>
    <row r="5" spans="1:40" ht="153.75" customHeight="1" x14ac:dyDescent="0.2">
      <c r="A5" s="228" t="s">
        <v>9</v>
      </c>
      <c r="B5" s="223" t="s">
        <v>1538</v>
      </c>
      <c r="C5" s="229" t="s">
        <v>1539</v>
      </c>
      <c r="D5" s="230">
        <v>2</v>
      </c>
      <c r="E5" s="230">
        <v>1</v>
      </c>
      <c r="F5" s="231">
        <v>1</v>
      </c>
      <c r="G5" s="231">
        <v>1</v>
      </c>
      <c r="H5" s="231">
        <v>2</v>
      </c>
      <c r="I5" s="236" t="s">
        <v>2005</v>
      </c>
      <c r="J5" s="238"/>
      <c r="K5" s="228" t="s">
        <v>9</v>
      </c>
      <c r="L5" s="223" t="s">
        <v>1538</v>
      </c>
      <c r="M5" s="234">
        <v>11</v>
      </c>
      <c r="N5" s="230">
        <v>8</v>
      </c>
      <c r="O5" s="231">
        <v>9</v>
      </c>
      <c r="P5" s="235">
        <v>12</v>
      </c>
      <c r="Q5" s="235">
        <v>14</v>
      </c>
      <c r="R5" s="236" t="s">
        <v>2023</v>
      </c>
    </row>
    <row r="6" spans="1:40" ht="237" customHeight="1" x14ac:dyDescent="0.2">
      <c r="A6" s="228" t="s">
        <v>9</v>
      </c>
      <c r="B6" s="223" t="s">
        <v>18</v>
      </c>
      <c r="C6" s="229" t="s">
        <v>1541</v>
      </c>
      <c r="D6" s="230">
        <v>21</v>
      </c>
      <c r="E6" s="230">
        <v>23</v>
      </c>
      <c r="F6" s="231">
        <v>22</v>
      </c>
      <c r="G6" s="231">
        <v>22</v>
      </c>
      <c r="H6" s="231">
        <v>23</v>
      </c>
      <c r="I6" s="232" t="s">
        <v>2006</v>
      </c>
      <c r="J6" s="233"/>
      <c r="K6" s="228" t="s">
        <v>9</v>
      </c>
      <c r="L6" s="223" t="s">
        <v>18</v>
      </c>
      <c r="M6" s="234">
        <v>0</v>
      </c>
      <c r="N6" s="230">
        <v>9</v>
      </c>
      <c r="O6" s="231">
        <v>7</v>
      </c>
      <c r="P6" s="235">
        <v>13</v>
      </c>
      <c r="Q6" s="235">
        <v>18</v>
      </c>
      <c r="R6" s="236" t="s">
        <v>2024</v>
      </c>
    </row>
    <row r="7" spans="1:40" ht="235.5" customHeight="1" x14ac:dyDescent="0.2">
      <c r="A7" s="228" t="s">
        <v>9</v>
      </c>
      <c r="B7" s="223" t="s">
        <v>41</v>
      </c>
      <c r="C7" s="229" t="s">
        <v>1544</v>
      </c>
      <c r="D7" s="230">
        <v>17</v>
      </c>
      <c r="E7" s="230">
        <v>16</v>
      </c>
      <c r="F7" s="231">
        <v>14</v>
      </c>
      <c r="G7" s="231">
        <v>19</v>
      </c>
      <c r="H7" s="231">
        <v>14</v>
      </c>
      <c r="I7" s="232" t="s">
        <v>2007</v>
      </c>
      <c r="J7" s="233"/>
      <c r="K7" s="228" t="s">
        <v>9</v>
      </c>
      <c r="L7" s="223" t="s">
        <v>41</v>
      </c>
      <c r="M7" s="234">
        <v>7</v>
      </c>
      <c r="N7" s="230">
        <v>0</v>
      </c>
      <c r="O7" s="231">
        <v>0</v>
      </c>
      <c r="P7" s="235">
        <v>0</v>
      </c>
      <c r="Q7" s="235">
        <v>1</v>
      </c>
      <c r="R7" s="239">
        <v>0</v>
      </c>
      <c r="AN7" s="240"/>
    </row>
    <row r="8" spans="1:40" ht="120.75" customHeight="1" x14ac:dyDescent="0.2">
      <c r="A8" s="228" t="s">
        <v>9</v>
      </c>
      <c r="B8" s="223" t="s">
        <v>145</v>
      </c>
      <c r="C8" s="229" t="s">
        <v>1546</v>
      </c>
      <c r="D8" s="230">
        <v>1</v>
      </c>
      <c r="E8" s="230">
        <v>2</v>
      </c>
      <c r="F8" s="231">
        <v>1</v>
      </c>
      <c r="G8" s="231">
        <v>1</v>
      </c>
      <c r="H8" s="231">
        <v>2</v>
      </c>
      <c r="I8" s="236" t="s">
        <v>139</v>
      </c>
      <c r="J8" s="241"/>
      <c r="K8" s="228" t="s">
        <v>9</v>
      </c>
      <c r="L8" s="223" t="s">
        <v>145</v>
      </c>
      <c r="M8" s="230">
        <v>3</v>
      </c>
      <c r="N8" s="230">
        <v>7</v>
      </c>
      <c r="O8" s="231">
        <v>7</v>
      </c>
      <c r="P8" s="235">
        <v>9</v>
      </c>
      <c r="Q8" s="235">
        <v>9</v>
      </c>
      <c r="R8" s="236" t="s">
        <v>2025</v>
      </c>
    </row>
    <row r="9" spans="1:40" ht="216.75" customHeight="1" x14ac:dyDescent="0.2">
      <c r="A9" s="228" t="s">
        <v>9</v>
      </c>
      <c r="B9" s="223" t="s">
        <v>33</v>
      </c>
      <c r="C9" s="229" t="s">
        <v>1548</v>
      </c>
      <c r="D9" s="230">
        <v>12</v>
      </c>
      <c r="E9" s="230">
        <v>14</v>
      </c>
      <c r="F9" s="231">
        <v>14</v>
      </c>
      <c r="G9" s="231">
        <v>15</v>
      </c>
      <c r="H9" s="231">
        <v>16</v>
      </c>
      <c r="I9" s="232" t="s">
        <v>2008</v>
      </c>
      <c r="J9" s="233"/>
      <c r="K9" s="228" t="s">
        <v>9</v>
      </c>
      <c r="L9" s="223" t="s">
        <v>33</v>
      </c>
      <c r="M9" s="234">
        <v>4</v>
      </c>
      <c r="N9" s="230">
        <v>4</v>
      </c>
      <c r="O9" s="231">
        <v>4</v>
      </c>
      <c r="P9" s="235">
        <v>3</v>
      </c>
      <c r="Q9" s="235">
        <v>5</v>
      </c>
      <c r="R9" s="236" t="s">
        <v>2026</v>
      </c>
    </row>
    <row r="10" spans="1:40" ht="125.25" customHeight="1" x14ac:dyDescent="0.2">
      <c r="A10" s="228" t="s">
        <v>1551</v>
      </c>
      <c r="B10" s="223" t="s">
        <v>40</v>
      </c>
      <c r="C10" s="229" t="s">
        <v>1552</v>
      </c>
      <c r="D10" s="230">
        <v>3</v>
      </c>
      <c r="E10" s="230">
        <v>3</v>
      </c>
      <c r="F10" s="231">
        <v>4</v>
      </c>
      <c r="G10" s="231">
        <v>5</v>
      </c>
      <c r="H10" s="231">
        <v>7</v>
      </c>
      <c r="I10" s="232" t="s">
        <v>1963</v>
      </c>
      <c r="J10" s="233"/>
      <c r="K10" s="228" t="s">
        <v>1551</v>
      </c>
      <c r="L10" s="223" t="s">
        <v>40</v>
      </c>
      <c r="M10" s="230">
        <v>2</v>
      </c>
      <c r="N10" s="230">
        <v>3</v>
      </c>
      <c r="O10" s="231">
        <v>3</v>
      </c>
      <c r="P10" s="231">
        <v>6</v>
      </c>
      <c r="Q10" s="231">
        <v>7</v>
      </c>
      <c r="R10" s="236" t="s">
        <v>2027</v>
      </c>
    </row>
    <row r="11" spans="1:40" ht="54" customHeight="1" x14ac:dyDescent="0.2">
      <c r="A11" s="228" t="s">
        <v>1551</v>
      </c>
      <c r="B11" s="223" t="s">
        <v>1555</v>
      </c>
      <c r="C11" s="229" t="s">
        <v>1556</v>
      </c>
      <c r="D11" s="230">
        <v>3</v>
      </c>
      <c r="E11" s="230">
        <v>4</v>
      </c>
      <c r="F11" s="231">
        <v>4</v>
      </c>
      <c r="G11" s="231">
        <v>4</v>
      </c>
      <c r="H11" s="231">
        <v>4</v>
      </c>
      <c r="I11" s="232" t="s">
        <v>2009</v>
      </c>
      <c r="J11" s="233"/>
      <c r="K11" s="228" t="s">
        <v>1551</v>
      </c>
      <c r="L11" s="223" t="s">
        <v>1555</v>
      </c>
      <c r="M11" s="230">
        <v>2</v>
      </c>
      <c r="N11" s="230">
        <v>2</v>
      </c>
      <c r="O11" s="231">
        <v>2</v>
      </c>
      <c r="P11" s="231">
        <v>3</v>
      </c>
      <c r="Q11" s="231">
        <v>3</v>
      </c>
      <c r="R11" s="236" t="s">
        <v>541</v>
      </c>
    </row>
    <row r="12" spans="1:40" ht="177.75" customHeight="1" x14ac:dyDescent="0.2">
      <c r="A12" s="228" t="s">
        <v>1551</v>
      </c>
      <c r="B12" s="223" t="s">
        <v>13</v>
      </c>
      <c r="C12" s="229" t="s">
        <v>1558</v>
      </c>
      <c r="D12" s="230">
        <v>9</v>
      </c>
      <c r="E12" s="230">
        <v>9</v>
      </c>
      <c r="F12" s="231">
        <v>11</v>
      </c>
      <c r="G12" s="231">
        <v>14</v>
      </c>
      <c r="H12" s="231">
        <v>17</v>
      </c>
      <c r="I12" s="232" t="s">
        <v>1964</v>
      </c>
      <c r="J12" s="233"/>
      <c r="K12" s="228" t="s">
        <v>1551</v>
      </c>
      <c r="L12" s="223" t="s">
        <v>13</v>
      </c>
      <c r="M12" s="230">
        <v>9</v>
      </c>
      <c r="N12" s="230">
        <v>9</v>
      </c>
      <c r="O12" s="231">
        <v>9</v>
      </c>
      <c r="P12" s="231">
        <v>11</v>
      </c>
      <c r="Q12" s="231">
        <v>13</v>
      </c>
      <c r="R12" s="236" t="s">
        <v>2028</v>
      </c>
    </row>
    <row r="13" spans="1:40" ht="99" customHeight="1" x14ac:dyDescent="0.2">
      <c r="A13" s="228" t="s">
        <v>1551</v>
      </c>
      <c r="B13" s="223" t="s">
        <v>1561</v>
      </c>
      <c r="C13" s="229" t="s">
        <v>1562</v>
      </c>
      <c r="D13" s="230">
        <v>3</v>
      </c>
      <c r="E13" s="230">
        <v>3</v>
      </c>
      <c r="F13" s="231">
        <v>1</v>
      </c>
      <c r="G13" s="231">
        <v>4</v>
      </c>
      <c r="H13" s="231">
        <v>5</v>
      </c>
      <c r="I13" s="236" t="s">
        <v>1965</v>
      </c>
      <c r="J13" s="241"/>
      <c r="K13" s="228" t="s">
        <v>1551</v>
      </c>
      <c r="L13" s="223" t="s">
        <v>1561</v>
      </c>
      <c r="M13" s="230">
        <f>GETPIVOTDATA("SUBCLASIFICACIÓN",'[3]T.D. Fortalezas'!$B$4,"CLASIFICACIÓN","EQUIPO, TECNOLOGÍA E INFRAESTRUCTURA","SUBCLASIFICACIÓN","REDES")</f>
        <v>1</v>
      </c>
      <c r="N13" s="230">
        <v>1</v>
      </c>
      <c r="O13" s="231">
        <v>1</v>
      </c>
      <c r="P13" s="231">
        <v>1</v>
      </c>
      <c r="Q13" s="231">
        <v>1</v>
      </c>
      <c r="R13" s="236" t="s">
        <v>455</v>
      </c>
    </row>
    <row r="14" spans="1:40" ht="101.25" customHeight="1" x14ac:dyDescent="0.2">
      <c r="A14" s="228" t="s">
        <v>1551</v>
      </c>
      <c r="B14" s="223" t="s">
        <v>1566</v>
      </c>
      <c r="C14" s="229" t="s">
        <v>1567</v>
      </c>
      <c r="D14" s="230">
        <v>1</v>
      </c>
      <c r="E14" s="230">
        <v>1</v>
      </c>
      <c r="F14" s="231">
        <v>0</v>
      </c>
      <c r="G14" s="231">
        <v>1</v>
      </c>
      <c r="H14" s="231">
        <v>2</v>
      </c>
      <c r="I14" s="236" t="s">
        <v>139</v>
      </c>
      <c r="J14" s="241"/>
      <c r="K14" s="228" t="s">
        <v>1551</v>
      </c>
      <c r="L14" s="223" t="s">
        <v>1566</v>
      </c>
      <c r="M14" s="230">
        <v>0</v>
      </c>
      <c r="N14" s="230">
        <v>0</v>
      </c>
      <c r="O14" s="231">
        <v>0</v>
      </c>
      <c r="P14" s="231">
        <v>0</v>
      </c>
      <c r="Q14" s="231">
        <v>0</v>
      </c>
      <c r="R14" s="239">
        <v>0</v>
      </c>
    </row>
    <row r="15" spans="1:40" ht="266.25" customHeight="1" x14ac:dyDescent="0.2">
      <c r="A15" s="228" t="s">
        <v>1551</v>
      </c>
      <c r="B15" s="223" t="s">
        <v>32</v>
      </c>
      <c r="C15" s="229" t="s">
        <v>1568</v>
      </c>
      <c r="D15" s="230">
        <v>10</v>
      </c>
      <c r="E15" s="230">
        <v>11</v>
      </c>
      <c r="F15" s="231">
        <v>12</v>
      </c>
      <c r="G15" s="231">
        <v>17</v>
      </c>
      <c r="H15" s="231">
        <v>18</v>
      </c>
      <c r="I15" s="232" t="s">
        <v>2010</v>
      </c>
      <c r="J15" s="233"/>
      <c r="K15" s="228" t="s">
        <v>1551</v>
      </c>
      <c r="L15" s="223" t="s">
        <v>32</v>
      </c>
      <c r="M15" s="230">
        <v>25</v>
      </c>
      <c r="N15" s="230">
        <v>26</v>
      </c>
      <c r="O15" s="231">
        <v>26</v>
      </c>
      <c r="P15" s="231">
        <v>27</v>
      </c>
      <c r="Q15" s="231">
        <v>26</v>
      </c>
      <c r="R15" s="236" t="s">
        <v>2029</v>
      </c>
    </row>
    <row r="16" spans="1:40" ht="93" customHeight="1" x14ac:dyDescent="0.2">
      <c r="A16" s="228" t="s">
        <v>1551</v>
      </c>
      <c r="B16" s="223" t="s">
        <v>211</v>
      </c>
      <c r="C16" s="229" t="s">
        <v>1572</v>
      </c>
      <c r="D16" s="230">
        <v>0</v>
      </c>
      <c r="E16" s="230">
        <v>0</v>
      </c>
      <c r="F16" s="231">
        <v>0</v>
      </c>
      <c r="G16" s="231">
        <v>0</v>
      </c>
      <c r="H16" s="231">
        <v>1</v>
      </c>
      <c r="I16" s="242">
        <v>0</v>
      </c>
      <c r="J16" s="243"/>
      <c r="K16" s="228" t="s">
        <v>1551</v>
      </c>
      <c r="L16" s="223" t="s">
        <v>211</v>
      </c>
      <c r="M16" s="230">
        <v>1</v>
      </c>
      <c r="N16" s="230">
        <v>0</v>
      </c>
      <c r="O16" s="231">
        <v>0</v>
      </c>
      <c r="P16" s="231">
        <v>0</v>
      </c>
      <c r="Q16" s="231">
        <v>0</v>
      </c>
      <c r="R16" s="236" t="s">
        <v>102</v>
      </c>
    </row>
    <row r="17" spans="1:18" ht="60.75" customHeight="1" x14ac:dyDescent="0.2">
      <c r="A17" s="228" t="s">
        <v>1551</v>
      </c>
      <c r="B17" s="223" t="s">
        <v>1573</v>
      </c>
      <c r="C17" s="229" t="s">
        <v>1574</v>
      </c>
      <c r="D17" s="230">
        <v>2</v>
      </c>
      <c r="E17" s="230">
        <v>2</v>
      </c>
      <c r="F17" s="231">
        <v>2</v>
      </c>
      <c r="G17" s="231">
        <v>4</v>
      </c>
      <c r="H17" s="231">
        <v>5</v>
      </c>
      <c r="I17" s="232" t="s">
        <v>1575</v>
      </c>
      <c r="J17" s="233"/>
      <c r="K17" s="228" t="s">
        <v>1551</v>
      </c>
      <c r="L17" s="223" t="s">
        <v>1573</v>
      </c>
      <c r="M17" s="230">
        <v>0</v>
      </c>
      <c r="N17" s="230">
        <v>0</v>
      </c>
      <c r="O17" s="231">
        <v>1</v>
      </c>
      <c r="P17" s="231">
        <v>4</v>
      </c>
      <c r="Q17" s="231">
        <v>4</v>
      </c>
      <c r="R17" s="239">
        <v>0</v>
      </c>
    </row>
    <row r="18" spans="1:18" ht="86.25" customHeight="1" x14ac:dyDescent="0.2">
      <c r="A18" s="228" t="s">
        <v>1576</v>
      </c>
      <c r="B18" s="223" t="s">
        <v>1577</v>
      </c>
      <c r="C18" s="229" t="s">
        <v>1578</v>
      </c>
      <c r="D18" s="230">
        <v>0</v>
      </c>
      <c r="E18" s="230">
        <v>1</v>
      </c>
      <c r="F18" s="231">
        <v>1</v>
      </c>
      <c r="G18" s="231">
        <v>2</v>
      </c>
      <c r="H18" s="231">
        <v>2</v>
      </c>
      <c r="I18" s="239">
        <v>0</v>
      </c>
      <c r="J18" s="244"/>
      <c r="K18" s="245" t="s">
        <v>1576</v>
      </c>
      <c r="L18" s="223" t="s">
        <v>1577</v>
      </c>
      <c r="M18" s="230">
        <v>0</v>
      </c>
      <c r="N18" s="230">
        <v>0</v>
      </c>
      <c r="O18" s="231">
        <v>0</v>
      </c>
      <c r="P18" s="231">
        <v>0</v>
      </c>
      <c r="Q18" s="231">
        <v>0</v>
      </c>
      <c r="R18" s="239">
        <v>0</v>
      </c>
    </row>
    <row r="19" spans="1:18" ht="258.75" customHeight="1" x14ac:dyDescent="0.2">
      <c r="A19" s="228" t="s">
        <v>1579</v>
      </c>
      <c r="B19" s="223" t="s">
        <v>14</v>
      </c>
      <c r="C19" s="229" t="s">
        <v>1580</v>
      </c>
      <c r="D19" s="230">
        <v>16</v>
      </c>
      <c r="E19" s="230">
        <v>8</v>
      </c>
      <c r="F19" s="231">
        <v>10</v>
      </c>
      <c r="G19" s="231">
        <v>13</v>
      </c>
      <c r="H19" s="231">
        <v>14</v>
      </c>
      <c r="I19" s="232" t="s">
        <v>2011</v>
      </c>
      <c r="J19" s="233"/>
      <c r="K19" s="245" t="s">
        <v>1579</v>
      </c>
      <c r="L19" s="223" t="s">
        <v>14</v>
      </c>
      <c r="M19" s="230">
        <v>18</v>
      </c>
      <c r="N19" s="230">
        <v>19</v>
      </c>
      <c r="O19" s="231">
        <v>16</v>
      </c>
      <c r="P19" s="235">
        <v>24</v>
      </c>
      <c r="Q19" s="235">
        <v>25</v>
      </c>
      <c r="R19" s="236" t="s">
        <v>2030</v>
      </c>
    </row>
    <row r="20" spans="1:18" ht="154.5" customHeight="1" x14ac:dyDescent="0.2">
      <c r="A20" s="228" t="s">
        <v>1579</v>
      </c>
      <c r="B20" s="223" t="s">
        <v>1583</v>
      </c>
      <c r="C20" s="229" t="s">
        <v>1584</v>
      </c>
      <c r="D20" s="230">
        <v>7</v>
      </c>
      <c r="E20" s="230">
        <v>8</v>
      </c>
      <c r="F20" s="231">
        <v>8</v>
      </c>
      <c r="G20" s="231">
        <v>13</v>
      </c>
      <c r="H20" s="231">
        <v>10</v>
      </c>
      <c r="I20" s="236" t="s">
        <v>2012</v>
      </c>
      <c r="J20" s="238"/>
      <c r="K20" s="245" t="s">
        <v>1579</v>
      </c>
      <c r="L20" s="223" t="s">
        <v>1583</v>
      </c>
      <c r="M20" s="234">
        <v>9</v>
      </c>
      <c r="N20" s="230">
        <v>8</v>
      </c>
      <c r="O20" s="231">
        <v>8</v>
      </c>
      <c r="P20" s="231">
        <v>10</v>
      </c>
      <c r="Q20" s="231">
        <v>10</v>
      </c>
      <c r="R20" s="236" t="s">
        <v>2031</v>
      </c>
    </row>
    <row r="21" spans="1:18" ht="237.75" customHeight="1" x14ac:dyDescent="0.2">
      <c r="A21" s="228" t="s">
        <v>1579</v>
      </c>
      <c r="B21" s="223" t="s">
        <v>1587</v>
      </c>
      <c r="C21" s="229" t="s">
        <v>1588</v>
      </c>
      <c r="D21" s="230">
        <v>15</v>
      </c>
      <c r="E21" s="230">
        <v>16</v>
      </c>
      <c r="F21" s="231">
        <v>15</v>
      </c>
      <c r="G21" s="231">
        <v>11</v>
      </c>
      <c r="H21" s="231">
        <v>12</v>
      </c>
      <c r="I21" s="232" t="s">
        <v>2013</v>
      </c>
      <c r="J21" s="233"/>
      <c r="K21" s="245" t="s">
        <v>1579</v>
      </c>
      <c r="L21" s="223" t="s">
        <v>1587</v>
      </c>
      <c r="M21" s="230">
        <v>4</v>
      </c>
      <c r="N21" s="230">
        <v>5</v>
      </c>
      <c r="O21" s="231">
        <v>5</v>
      </c>
      <c r="P21" s="231">
        <v>4</v>
      </c>
      <c r="Q21" s="231">
        <v>5</v>
      </c>
      <c r="R21" s="236" t="s">
        <v>1554</v>
      </c>
    </row>
    <row r="22" spans="1:18" ht="93.75" customHeight="1" x14ac:dyDescent="0.2">
      <c r="A22" s="228" t="s">
        <v>1579</v>
      </c>
      <c r="B22" s="223" t="s">
        <v>1591</v>
      </c>
      <c r="C22" s="229" t="s">
        <v>1592</v>
      </c>
      <c r="D22" s="230">
        <v>3</v>
      </c>
      <c r="E22" s="230">
        <v>3</v>
      </c>
      <c r="F22" s="231">
        <v>3</v>
      </c>
      <c r="G22" s="231">
        <v>5</v>
      </c>
      <c r="H22" s="231">
        <v>5</v>
      </c>
      <c r="I22" s="232" t="s">
        <v>2014</v>
      </c>
      <c r="J22" s="233"/>
      <c r="K22" s="245" t="s">
        <v>1579</v>
      </c>
      <c r="L22" s="223" t="s">
        <v>1591</v>
      </c>
      <c r="M22" s="230">
        <v>4</v>
      </c>
      <c r="N22" s="230">
        <v>4</v>
      </c>
      <c r="O22" s="231">
        <v>1</v>
      </c>
      <c r="P22" s="231">
        <v>3</v>
      </c>
      <c r="Q22" s="231">
        <v>2</v>
      </c>
      <c r="R22" s="236" t="s">
        <v>1972</v>
      </c>
    </row>
    <row r="23" spans="1:18" ht="195" customHeight="1" x14ac:dyDescent="0.2">
      <c r="A23" s="228" t="s">
        <v>1579</v>
      </c>
      <c r="B23" s="223" t="s">
        <v>22</v>
      </c>
      <c r="C23" s="229" t="s">
        <v>1594</v>
      </c>
      <c r="D23" s="230">
        <v>16</v>
      </c>
      <c r="E23" s="230">
        <v>15</v>
      </c>
      <c r="F23" s="231">
        <v>16</v>
      </c>
      <c r="G23" s="231">
        <v>26</v>
      </c>
      <c r="H23" s="231">
        <v>27</v>
      </c>
      <c r="I23" s="232" t="s">
        <v>2015</v>
      </c>
      <c r="J23" s="233"/>
      <c r="K23" s="245" t="s">
        <v>1579</v>
      </c>
      <c r="L23" s="223" t="s">
        <v>22</v>
      </c>
      <c r="M23" s="230">
        <v>4</v>
      </c>
      <c r="N23" s="230">
        <v>4</v>
      </c>
      <c r="O23" s="231">
        <v>4</v>
      </c>
      <c r="P23" s="231">
        <v>4</v>
      </c>
      <c r="Q23" s="231">
        <v>3</v>
      </c>
      <c r="R23" s="236" t="s">
        <v>1596</v>
      </c>
    </row>
    <row r="24" spans="1:18" ht="165" customHeight="1" x14ac:dyDescent="0.2">
      <c r="A24" s="228" t="s">
        <v>1579</v>
      </c>
      <c r="B24" s="223" t="s">
        <v>70</v>
      </c>
      <c r="C24" s="246" t="s">
        <v>1597</v>
      </c>
      <c r="D24" s="230">
        <v>6</v>
      </c>
      <c r="E24" s="230">
        <v>7</v>
      </c>
      <c r="F24" s="231">
        <v>8</v>
      </c>
      <c r="G24" s="231">
        <v>11</v>
      </c>
      <c r="H24" s="231">
        <v>10</v>
      </c>
      <c r="I24" s="232" t="s">
        <v>2016</v>
      </c>
      <c r="J24" s="233"/>
      <c r="K24" s="245" t="s">
        <v>1579</v>
      </c>
      <c r="L24" s="223" t="s">
        <v>70</v>
      </c>
      <c r="M24" s="230">
        <v>7</v>
      </c>
      <c r="N24" s="230">
        <v>8</v>
      </c>
      <c r="O24" s="231">
        <v>7</v>
      </c>
      <c r="P24" s="231">
        <v>10</v>
      </c>
      <c r="Q24" s="231">
        <v>16</v>
      </c>
      <c r="R24" s="236" t="s">
        <v>1599</v>
      </c>
    </row>
    <row r="25" spans="1:18" ht="138.75" customHeight="1" x14ac:dyDescent="0.2">
      <c r="A25" s="228" t="s">
        <v>1579</v>
      </c>
      <c r="B25" s="223" t="s">
        <v>68</v>
      </c>
      <c r="C25" s="229" t="s">
        <v>1600</v>
      </c>
      <c r="D25" s="230">
        <v>5</v>
      </c>
      <c r="E25" s="230">
        <v>5</v>
      </c>
      <c r="F25" s="231">
        <v>8</v>
      </c>
      <c r="G25" s="231">
        <v>5</v>
      </c>
      <c r="H25" s="231">
        <v>6</v>
      </c>
      <c r="I25" s="232" t="s">
        <v>1975</v>
      </c>
      <c r="J25" s="233"/>
      <c r="K25" s="245" t="s">
        <v>1579</v>
      </c>
      <c r="L25" s="223" t="s">
        <v>68</v>
      </c>
      <c r="M25" s="230">
        <v>9</v>
      </c>
      <c r="N25" s="230">
        <v>11</v>
      </c>
      <c r="O25" s="231">
        <v>6</v>
      </c>
      <c r="P25" s="231">
        <v>9</v>
      </c>
      <c r="Q25" s="231">
        <v>7</v>
      </c>
      <c r="R25" s="236" t="s">
        <v>1976</v>
      </c>
    </row>
    <row r="26" spans="1:18" ht="43.5" customHeight="1" x14ac:dyDescent="0.2">
      <c r="A26" s="228" t="s">
        <v>1579</v>
      </c>
      <c r="B26" s="223" t="s">
        <v>1603</v>
      </c>
      <c r="C26" s="229" t="s">
        <v>1604</v>
      </c>
      <c r="D26" s="230">
        <v>1</v>
      </c>
      <c r="E26" s="230">
        <v>1</v>
      </c>
      <c r="F26" s="231">
        <v>1</v>
      </c>
      <c r="G26" s="231">
        <v>1</v>
      </c>
      <c r="H26" s="231">
        <v>1</v>
      </c>
      <c r="I26" s="236" t="s">
        <v>481</v>
      </c>
      <c r="J26" s="247"/>
      <c r="K26" s="245" t="s">
        <v>1579</v>
      </c>
      <c r="L26" s="223" t="s">
        <v>1603</v>
      </c>
      <c r="M26" s="230">
        <v>1</v>
      </c>
      <c r="N26" s="230">
        <v>1</v>
      </c>
      <c r="O26" s="231">
        <v>2</v>
      </c>
      <c r="P26" s="231">
        <v>2</v>
      </c>
      <c r="Q26" s="231">
        <v>2</v>
      </c>
      <c r="R26" s="236" t="s">
        <v>237</v>
      </c>
    </row>
    <row r="27" spans="1:18" ht="93.75" customHeight="1" x14ac:dyDescent="0.2">
      <c r="A27" s="228" t="s">
        <v>1579</v>
      </c>
      <c r="B27" s="223" t="s">
        <v>1606</v>
      </c>
      <c r="C27" s="229" t="s">
        <v>1607</v>
      </c>
      <c r="D27" s="230">
        <v>2</v>
      </c>
      <c r="E27" s="230">
        <v>3</v>
      </c>
      <c r="F27" s="231">
        <v>3</v>
      </c>
      <c r="G27" s="231">
        <v>3</v>
      </c>
      <c r="H27" s="231">
        <v>4</v>
      </c>
      <c r="I27" s="236" t="s">
        <v>1626</v>
      </c>
      <c r="J27" s="238"/>
      <c r="K27" s="245" t="s">
        <v>1579</v>
      </c>
      <c r="L27" s="223" t="s">
        <v>1606</v>
      </c>
      <c r="M27" s="230">
        <v>5</v>
      </c>
      <c r="N27" s="230">
        <v>4</v>
      </c>
      <c r="O27" s="231">
        <v>4</v>
      </c>
      <c r="P27" s="231">
        <v>11</v>
      </c>
      <c r="Q27" s="231">
        <v>9</v>
      </c>
      <c r="R27" s="236" t="s">
        <v>1609</v>
      </c>
    </row>
    <row r="28" spans="1:18" ht="160.5" customHeight="1" x14ac:dyDescent="0.2">
      <c r="A28" s="228" t="s">
        <v>1579</v>
      </c>
      <c r="B28" s="223" t="s">
        <v>17</v>
      </c>
      <c r="C28" s="229" t="s">
        <v>1610</v>
      </c>
      <c r="D28" s="230">
        <v>11</v>
      </c>
      <c r="E28" s="230">
        <v>12</v>
      </c>
      <c r="F28" s="231">
        <v>12</v>
      </c>
      <c r="G28" s="231">
        <v>12</v>
      </c>
      <c r="H28" s="231">
        <v>15</v>
      </c>
      <c r="I28" s="232" t="s">
        <v>2017</v>
      </c>
      <c r="J28" s="233"/>
      <c r="K28" s="245" t="s">
        <v>1579</v>
      </c>
      <c r="L28" s="223" t="s">
        <v>17</v>
      </c>
      <c r="M28" s="230">
        <v>0</v>
      </c>
      <c r="N28" s="230">
        <v>1</v>
      </c>
      <c r="O28" s="231">
        <v>2</v>
      </c>
      <c r="P28" s="231">
        <v>2</v>
      </c>
      <c r="Q28" s="231">
        <v>3</v>
      </c>
      <c r="R28" s="239">
        <v>0</v>
      </c>
    </row>
    <row r="29" spans="1:18" ht="120" customHeight="1" x14ac:dyDescent="0.2">
      <c r="A29" s="228" t="s">
        <v>1579</v>
      </c>
      <c r="B29" s="223" t="s">
        <v>107</v>
      </c>
      <c r="C29" s="229" t="s">
        <v>1613</v>
      </c>
      <c r="D29" s="230">
        <v>3</v>
      </c>
      <c r="E29" s="230">
        <v>3</v>
      </c>
      <c r="F29" s="231">
        <v>3</v>
      </c>
      <c r="G29" s="231">
        <v>5</v>
      </c>
      <c r="H29" s="231">
        <v>7</v>
      </c>
      <c r="I29" s="232" t="s">
        <v>2018</v>
      </c>
      <c r="J29" s="233"/>
      <c r="K29" s="245" t="s">
        <v>1579</v>
      </c>
      <c r="L29" s="223" t="s">
        <v>107</v>
      </c>
      <c r="M29" s="230">
        <v>7</v>
      </c>
      <c r="N29" s="230">
        <v>7</v>
      </c>
      <c r="O29" s="231">
        <v>7</v>
      </c>
      <c r="P29" s="231">
        <v>10</v>
      </c>
      <c r="Q29" s="231">
        <v>9</v>
      </c>
      <c r="R29" s="236" t="s">
        <v>2032</v>
      </c>
    </row>
    <row r="30" spans="1:18" ht="210.75" customHeight="1" x14ac:dyDescent="0.2">
      <c r="A30" s="228" t="s">
        <v>1579</v>
      </c>
      <c r="B30" s="223" t="s">
        <v>1616</v>
      </c>
      <c r="C30" s="229" t="s">
        <v>1617</v>
      </c>
      <c r="D30" s="230">
        <v>10</v>
      </c>
      <c r="E30" s="230">
        <v>12</v>
      </c>
      <c r="F30" s="231">
        <v>12</v>
      </c>
      <c r="G30" s="231">
        <v>15</v>
      </c>
      <c r="H30" s="231">
        <v>17</v>
      </c>
      <c r="I30" s="232" t="s">
        <v>2019</v>
      </c>
      <c r="J30" s="233"/>
      <c r="K30" s="245" t="s">
        <v>1579</v>
      </c>
      <c r="L30" s="223" t="s">
        <v>1616</v>
      </c>
      <c r="M30" s="230">
        <v>6</v>
      </c>
      <c r="N30" s="230">
        <v>5</v>
      </c>
      <c r="O30" s="231">
        <v>5</v>
      </c>
      <c r="P30" s="231">
        <v>6</v>
      </c>
      <c r="Q30" s="231">
        <v>6</v>
      </c>
      <c r="R30" s="236" t="s">
        <v>2033</v>
      </c>
    </row>
    <row r="31" spans="1:18" ht="101.25" customHeight="1" x14ac:dyDescent="0.2">
      <c r="A31" s="228" t="s">
        <v>16</v>
      </c>
      <c r="B31" s="223" t="s">
        <v>144</v>
      </c>
      <c r="C31" s="229" t="s">
        <v>1620</v>
      </c>
      <c r="D31" s="230">
        <v>0</v>
      </c>
      <c r="E31" s="230">
        <v>2</v>
      </c>
      <c r="F31" s="231">
        <v>3</v>
      </c>
      <c r="G31" s="231">
        <v>7</v>
      </c>
      <c r="H31" s="231">
        <v>6</v>
      </c>
      <c r="I31" s="242">
        <v>0</v>
      </c>
      <c r="J31" s="243"/>
      <c r="K31" s="245" t="s">
        <v>16</v>
      </c>
      <c r="L31" s="223" t="s">
        <v>144</v>
      </c>
      <c r="M31" s="230">
        <v>5</v>
      </c>
      <c r="N31" s="230">
        <v>6</v>
      </c>
      <c r="O31" s="231">
        <v>7</v>
      </c>
      <c r="P31" s="231">
        <v>9</v>
      </c>
      <c r="Q31" s="231">
        <v>13</v>
      </c>
      <c r="R31" s="236" t="s">
        <v>2034</v>
      </c>
    </row>
    <row r="32" spans="1:18" ht="60.75" customHeight="1" x14ac:dyDescent="0.2">
      <c r="A32" s="228" t="s">
        <v>16</v>
      </c>
      <c r="B32" s="223" t="s">
        <v>1623</v>
      </c>
      <c r="C32" s="229" t="s">
        <v>1624</v>
      </c>
      <c r="D32" s="230">
        <v>2</v>
      </c>
      <c r="E32" s="230">
        <v>2</v>
      </c>
      <c r="F32" s="231">
        <v>2</v>
      </c>
      <c r="G32" s="231">
        <v>4</v>
      </c>
      <c r="H32" s="231">
        <v>2</v>
      </c>
      <c r="I32" s="232" t="s">
        <v>1625</v>
      </c>
      <c r="J32" s="233"/>
      <c r="K32" s="245" t="s">
        <v>16</v>
      </c>
      <c r="L32" s="223" t="s">
        <v>1623</v>
      </c>
      <c r="M32" s="230">
        <v>5</v>
      </c>
      <c r="N32" s="230">
        <v>5</v>
      </c>
      <c r="O32" s="231">
        <v>5</v>
      </c>
      <c r="P32" s="231">
        <v>1</v>
      </c>
      <c r="Q32" s="231">
        <v>1</v>
      </c>
      <c r="R32" s="236" t="s">
        <v>1626</v>
      </c>
    </row>
    <row r="33" spans="1:18" ht="80.25" customHeight="1" x14ac:dyDescent="0.2">
      <c r="A33" s="228" t="s">
        <v>16</v>
      </c>
      <c r="B33" s="223" t="s">
        <v>1627</v>
      </c>
      <c r="C33" s="229" t="s">
        <v>1628</v>
      </c>
      <c r="D33" s="230">
        <v>0</v>
      </c>
      <c r="E33" s="230">
        <v>0</v>
      </c>
      <c r="F33" s="231">
        <v>0</v>
      </c>
      <c r="G33" s="231">
        <v>1</v>
      </c>
      <c r="H33" s="231">
        <v>0</v>
      </c>
      <c r="I33" s="242">
        <v>0</v>
      </c>
      <c r="J33" s="243"/>
      <c r="K33" s="245" t="s">
        <v>16</v>
      </c>
      <c r="L33" s="223" t="s">
        <v>1627</v>
      </c>
      <c r="M33" s="230">
        <v>2</v>
      </c>
      <c r="N33" s="230">
        <v>1</v>
      </c>
      <c r="O33" s="231">
        <v>1</v>
      </c>
      <c r="P33" s="231">
        <v>2</v>
      </c>
      <c r="Q33" s="231">
        <f>+GETPIVOTDATA("SUBCLASIFICACION",'[2]T.D. FORTLZ'!$A$3,"CLASIFICACION","MEDICION ","SUBCLASIFICACION","TRAZABILIDAD")</f>
        <v>2</v>
      </c>
      <c r="R33" s="236" t="s">
        <v>2035</v>
      </c>
    </row>
    <row r="34" spans="1:18" ht="204" customHeight="1" x14ac:dyDescent="0.2">
      <c r="A34" s="228" t="s">
        <v>42</v>
      </c>
      <c r="B34" s="223" t="s">
        <v>43</v>
      </c>
      <c r="C34" s="229" t="s">
        <v>1629</v>
      </c>
      <c r="D34" s="230">
        <v>10</v>
      </c>
      <c r="E34" s="230">
        <v>9</v>
      </c>
      <c r="F34" s="231">
        <v>11</v>
      </c>
      <c r="G34" s="231">
        <v>14</v>
      </c>
      <c r="H34" s="231">
        <v>15</v>
      </c>
      <c r="I34" s="232" t="s">
        <v>2020</v>
      </c>
      <c r="J34" s="233"/>
      <c r="K34" s="245" t="s">
        <v>42</v>
      </c>
      <c r="L34" s="223" t="s">
        <v>43</v>
      </c>
      <c r="M34" s="230">
        <v>4</v>
      </c>
      <c r="N34" s="230">
        <v>4</v>
      </c>
      <c r="O34" s="231">
        <v>4</v>
      </c>
      <c r="P34" s="231">
        <v>5</v>
      </c>
      <c r="Q34" s="231">
        <v>4</v>
      </c>
      <c r="R34" s="236" t="s">
        <v>2036</v>
      </c>
    </row>
    <row r="35" spans="1:18" ht="123" customHeight="1" x14ac:dyDescent="0.2">
      <c r="A35" s="228" t="s">
        <v>42</v>
      </c>
      <c r="B35" s="223" t="s">
        <v>1632</v>
      </c>
      <c r="C35" s="229" t="s">
        <v>1633</v>
      </c>
      <c r="D35" s="230">
        <v>3</v>
      </c>
      <c r="E35" s="230">
        <v>3</v>
      </c>
      <c r="F35" s="231">
        <v>3</v>
      </c>
      <c r="G35" s="231">
        <v>3</v>
      </c>
      <c r="H35" s="231">
        <v>2</v>
      </c>
      <c r="I35" s="232" t="s">
        <v>1634</v>
      </c>
      <c r="J35" s="233"/>
      <c r="K35" s="245" t="s">
        <v>42</v>
      </c>
      <c r="L35" s="223" t="s">
        <v>1632</v>
      </c>
      <c r="M35" s="230">
        <v>2</v>
      </c>
      <c r="N35" s="230">
        <v>3</v>
      </c>
      <c r="O35" s="231">
        <v>3</v>
      </c>
      <c r="P35" s="231">
        <v>4</v>
      </c>
      <c r="Q35" s="231">
        <v>4</v>
      </c>
      <c r="R35" s="236" t="s">
        <v>2035</v>
      </c>
    </row>
    <row r="36" spans="1:18" ht="147.75" customHeight="1" x14ac:dyDescent="0.2">
      <c r="A36" s="228" t="s">
        <v>207</v>
      </c>
      <c r="B36" s="223" t="s">
        <v>293</v>
      </c>
      <c r="C36" s="229" t="s">
        <v>1636</v>
      </c>
      <c r="D36" s="230">
        <v>0</v>
      </c>
      <c r="E36" s="230">
        <v>1</v>
      </c>
      <c r="F36" s="231">
        <v>1</v>
      </c>
      <c r="G36" s="231">
        <v>3</v>
      </c>
      <c r="H36" s="231">
        <v>4</v>
      </c>
      <c r="I36" s="239">
        <v>0</v>
      </c>
      <c r="J36" s="247"/>
      <c r="K36" s="228" t="s">
        <v>207</v>
      </c>
      <c r="L36" s="223" t="s">
        <v>293</v>
      </c>
      <c r="M36" s="230">
        <v>9</v>
      </c>
      <c r="N36" s="230">
        <v>9</v>
      </c>
      <c r="O36" s="231">
        <v>10</v>
      </c>
      <c r="P36" s="231">
        <v>11</v>
      </c>
      <c r="Q36" s="231">
        <v>15</v>
      </c>
      <c r="R36" s="236" t="s">
        <v>2037</v>
      </c>
    </row>
    <row r="37" spans="1:18" ht="150.75" customHeight="1" x14ac:dyDescent="0.2">
      <c r="A37" s="228" t="s">
        <v>1638</v>
      </c>
      <c r="B37" s="223" t="s">
        <v>1639</v>
      </c>
      <c r="C37" s="229" t="s">
        <v>1640</v>
      </c>
      <c r="D37" s="230">
        <v>9</v>
      </c>
      <c r="E37" s="230">
        <v>8</v>
      </c>
      <c r="F37" s="231">
        <v>7</v>
      </c>
      <c r="G37" s="235">
        <v>8</v>
      </c>
      <c r="H37" s="235">
        <v>12</v>
      </c>
      <c r="I37" s="232" t="s">
        <v>1983</v>
      </c>
      <c r="J37" s="233"/>
      <c r="K37" s="245" t="s">
        <v>1638</v>
      </c>
      <c r="L37" s="223" t="s">
        <v>1639</v>
      </c>
      <c r="M37" s="230">
        <v>10</v>
      </c>
      <c r="N37" s="230">
        <v>9</v>
      </c>
      <c r="O37" s="231">
        <v>9</v>
      </c>
      <c r="P37" s="231">
        <v>11</v>
      </c>
      <c r="Q37" s="231">
        <v>13</v>
      </c>
      <c r="R37" s="236" t="s">
        <v>2038</v>
      </c>
    </row>
    <row r="38" spans="1:18" ht="195.75" customHeight="1" x14ac:dyDescent="0.2">
      <c r="A38" s="228" t="s">
        <v>1638</v>
      </c>
      <c r="B38" s="223" t="s">
        <v>58</v>
      </c>
      <c r="C38" s="229" t="s">
        <v>1643</v>
      </c>
      <c r="D38" s="234">
        <v>9</v>
      </c>
      <c r="E38" s="230">
        <v>8</v>
      </c>
      <c r="F38" s="231">
        <v>13</v>
      </c>
      <c r="G38" s="231">
        <v>17</v>
      </c>
      <c r="H38" s="231">
        <v>20</v>
      </c>
      <c r="I38" s="232" t="s">
        <v>1984</v>
      </c>
      <c r="J38" s="233"/>
      <c r="K38" s="245" t="s">
        <v>1638</v>
      </c>
      <c r="L38" s="223" t="s">
        <v>58</v>
      </c>
      <c r="M38" s="230">
        <v>12</v>
      </c>
      <c r="N38" s="230">
        <v>10</v>
      </c>
      <c r="O38" s="231">
        <v>12</v>
      </c>
      <c r="P38" s="231">
        <v>17</v>
      </c>
      <c r="Q38" s="231">
        <v>21</v>
      </c>
      <c r="R38" s="236" t="s">
        <v>2039</v>
      </c>
    </row>
    <row r="39" spans="1:18" ht="69.75" customHeight="1" x14ac:dyDescent="0.2">
      <c r="A39" s="228" t="s">
        <v>1638</v>
      </c>
      <c r="B39" s="223" t="s">
        <v>45</v>
      </c>
      <c r="C39" s="229" t="s">
        <v>1646</v>
      </c>
      <c r="D39" s="230">
        <v>1</v>
      </c>
      <c r="E39" s="230">
        <v>1</v>
      </c>
      <c r="F39" s="231">
        <v>1</v>
      </c>
      <c r="G39" s="231">
        <v>1</v>
      </c>
      <c r="H39" s="231">
        <v>1</v>
      </c>
      <c r="I39" s="232" t="s">
        <v>34</v>
      </c>
      <c r="J39" s="233"/>
      <c r="K39" s="245" t="s">
        <v>1638</v>
      </c>
      <c r="L39" s="223" t="s">
        <v>45</v>
      </c>
      <c r="M39" s="230">
        <v>5</v>
      </c>
      <c r="N39" s="230">
        <v>5</v>
      </c>
      <c r="O39" s="231">
        <v>5</v>
      </c>
      <c r="P39" s="231">
        <v>6</v>
      </c>
      <c r="Q39" s="231">
        <v>7</v>
      </c>
      <c r="R39" s="236" t="s">
        <v>1647</v>
      </c>
    </row>
    <row r="40" spans="1:18" ht="102" customHeight="1" x14ac:dyDescent="0.2">
      <c r="A40" s="228" t="s">
        <v>1638</v>
      </c>
      <c r="B40" s="223" t="s">
        <v>174</v>
      </c>
      <c r="C40" s="229" t="s">
        <v>1648</v>
      </c>
      <c r="D40" s="230">
        <v>0</v>
      </c>
      <c r="E40" s="230">
        <v>0</v>
      </c>
      <c r="F40" s="231">
        <v>0</v>
      </c>
      <c r="G40" s="231">
        <v>0</v>
      </c>
      <c r="H40" s="231">
        <v>0</v>
      </c>
      <c r="I40" s="242">
        <v>0</v>
      </c>
      <c r="J40" s="248"/>
      <c r="K40" s="245" t="s">
        <v>1638</v>
      </c>
      <c r="L40" s="223" t="s">
        <v>174</v>
      </c>
      <c r="M40" s="230">
        <v>3</v>
      </c>
      <c r="N40" s="230">
        <v>0</v>
      </c>
      <c r="O40" s="231">
        <v>0</v>
      </c>
      <c r="P40" s="231">
        <v>5</v>
      </c>
      <c r="Q40" s="231">
        <v>5</v>
      </c>
      <c r="R40" s="236" t="s">
        <v>2040</v>
      </c>
    </row>
    <row r="41" spans="1:18" ht="106.5" customHeight="1" x14ac:dyDescent="0.2">
      <c r="A41" s="228" t="s">
        <v>1638</v>
      </c>
      <c r="B41" s="223" t="s">
        <v>1649</v>
      </c>
      <c r="C41" s="229" t="s">
        <v>1650</v>
      </c>
      <c r="D41" s="230">
        <v>3</v>
      </c>
      <c r="E41" s="230">
        <v>3</v>
      </c>
      <c r="F41" s="231">
        <v>3</v>
      </c>
      <c r="G41" s="231">
        <v>3</v>
      </c>
      <c r="H41" s="231">
        <v>3</v>
      </c>
      <c r="I41" s="236" t="s">
        <v>1651</v>
      </c>
      <c r="J41" s="238"/>
      <c r="K41" s="245" t="s">
        <v>1638</v>
      </c>
      <c r="L41" s="223" t="s">
        <v>1649</v>
      </c>
      <c r="M41" s="230">
        <v>8</v>
      </c>
      <c r="N41" s="230">
        <v>8</v>
      </c>
      <c r="O41" s="231">
        <v>8</v>
      </c>
      <c r="P41" s="231">
        <v>12</v>
      </c>
      <c r="Q41" s="231">
        <v>13</v>
      </c>
      <c r="R41" s="236" t="s">
        <v>1652</v>
      </c>
    </row>
    <row r="42" spans="1:18" ht="117" customHeight="1" x14ac:dyDescent="0.2">
      <c r="A42" s="228" t="s">
        <v>1638</v>
      </c>
      <c r="B42" s="223" t="s">
        <v>1653</v>
      </c>
      <c r="C42" s="229" t="s">
        <v>1654</v>
      </c>
      <c r="D42" s="230">
        <v>1</v>
      </c>
      <c r="E42" s="230">
        <v>1</v>
      </c>
      <c r="F42" s="231">
        <v>1</v>
      </c>
      <c r="G42" s="231">
        <v>1</v>
      </c>
      <c r="H42" s="231">
        <v>2</v>
      </c>
      <c r="I42" s="236" t="s">
        <v>170</v>
      </c>
      <c r="J42" s="249"/>
      <c r="K42" s="245" t="s">
        <v>1638</v>
      </c>
      <c r="L42" s="223" t="s">
        <v>1653</v>
      </c>
      <c r="M42" s="230">
        <v>10</v>
      </c>
      <c r="N42" s="230">
        <v>9</v>
      </c>
      <c r="O42" s="231">
        <v>9</v>
      </c>
      <c r="P42" s="231">
        <v>10</v>
      </c>
      <c r="Q42" s="231">
        <v>12</v>
      </c>
      <c r="R42" s="236" t="s">
        <v>2041</v>
      </c>
    </row>
    <row r="43" spans="1:18" ht="79.5" customHeight="1" thickBot="1" x14ac:dyDescent="0.25">
      <c r="A43" s="250" t="s">
        <v>1638</v>
      </c>
      <c r="B43" s="251" t="s">
        <v>1656</v>
      </c>
      <c r="C43" s="252" t="s">
        <v>1657</v>
      </c>
      <c r="D43" s="253">
        <v>0</v>
      </c>
      <c r="E43" s="253">
        <v>0</v>
      </c>
      <c r="F43" s="254">
        <v>0</v>
      </c>
      <c r="G43" s="254">
        <v>1</v>
      </c>
      <c r="H43" s="254">
        <v>1</v>
      </c>
      <c r="I43" s="255">
        <v>0</v>
      </c>
      <c r="J43" s="248"/>
      <c r="K43" s="256" t="s">
        <v>1638</v>
      </c>
      <c r="L43" s="251" t="s">
        <v>1656</v>
      </c>
      <c r="M43" s="253">
        <v>0</v>
      </c>
      <c r="N43" s="253">
        <v>0</v>
      </c>
      <c r="O43" s="254">
        <v>0</v>
      </c>
      <c r="P43" s="254">
        <v>0</v>
      </c>
      <c r="Q43" s="254">
        <v>0</v>
      </c>
      <c r="R43" s="257">
        <v>0</v>
      </c>
    </row>
    <row r="44" spans="1:18" s="265" customFormat="1" ht="24.75" customHeight="1" thickBot="1" x14ac:dyDescent="0.25">
      <c r="A44" s="258"/>
      <c r="B44" s="258"/>
      <c r="C44" s="259"/>
      <c r="D44" s="260"/>
      <c r="E44" s="261"/>
      <c r="F44" s="261"/>
      <c r="G44" s="261"/>
      <c r="H44" s="261"/>
      <c r="I44" s="262"/>
      <c r="J44" s="263"/>
      <c r="K44" s="264"/>
      <c r="L44" s="258"/>
      <c r="M44" s="258"/>
      <c r="N44" s="261"/>
      <c r="O44" s="261"/>
      <c r="P44" s="261"/>
      <c r="Q44" s="261"/>
      <c r="R44" s="259"/>
    </row>
    <row r="45" spans="1:18" s="269" customFormat="1" ht="59.25" customHeight="1" x14ac:dyDescent="0.25">
      <c r="A45" s="266" t="s">
        <v>2057</v>
      </c>
      <c r="B45" s="267"/>
      <c r="C45" s="222" t="s">
        <v>1525</v>
      </c>
      <c r="D45" s="223" t="s">
        <v>2062</v>
      </c>
      <c r="E45" s="224" t="s">
        <v>2063</v>
      </c>
      <c r="F45" s="224" t="s">
        <v>2068</v>
      </c>
      <c r="G45" s="224" t="s">
        <v>2069</v>
      </c>
      <c r="H45" s="224" t="s">
        <v>2070</v>
      </c>
      <c r="I45" s="225" t="s">
        <v>1527</v>
      </c>
      <c r="J45" s="268"/>
      <c r="K45" s="266" t="s">
        <v>2057</v>
      </c>
      <c r="L45" s="267"/>
      <c r="M45" s="223" t="s">
        <v>1660</v>
      </c>
      <c r="N45" s="224" t="s">
        <v>2064</v>
      </c>
      <c r="O45" s="224" t="s">
        <v>2071</v>
      </c>
      <c r="P45" s="224" t="s">
        <v>2072</v>
      </c>
      <c r="Q45" s="224" t="s">
        <v>2073</v>
      </c>
      <c r="R45" s="225" t="s">
        <v>1527</v>
      </c>
    </row>
    <row r="46" spans="1:18" ht="125.25" customHeight="1" x14ac:dyDescent="0.2">
      <c r="A46" s="228" t="s">
        <v>1661</v>
      </c>
      <c r="B46" s="223" t="s">
        <v>1662</v>
      </c>
      <c r="C46" s="229" t="s">
        <v>1663</v>
      </c>
      <c r="D46" s="230">
        <v>7</v>
      </c>
      <c r="E46" s="230">
        <v>6</v>
      </c>
      <c r="F46" s="235">
        <v>7</v>
      </c>
      <c r="G46" s="231">
        <v>3</v>
      </c>
      <c r="H46" s="231">
        <v>5</v>
      </c>
      <c r="I46" s="236" t="s">
        <v>1664</v>
      </c>
      <c r="J46" s="238"/>
      <c r="K46" s="228" t="s">
        <v>1661</v>
      </c>
      <c r="L46" s="223" t="s">
        <v>1662</v>
      </c>
      <c r="M46" s="230">
        <v>6</v>
      </c>
      <c r="N46" s="230">
        <v>7</v>
      </c>
      <c r="O46" s="235">
        <v>6</v>
      </c>
      <c r="P46" s="231">
        <v>6</v>
      </c>
      <c r="Q46" s="231">
        <v>6</v>
      </c>
      <c r="R46" s="236" t="s">
        <v>1665</v>
      </c>
    </row>
    <row r="47" spans="1:18" ht="70.5" customHeight="1" x14ac:dyDescent="0.2">
      <c r="A47" s="228" t="s">
        <v>1661</v>
      </c>
      <c r="B47" s="223" t="s">
        <v>1666</v>
      </c>
      <c r="C47" s="229" t="s">
        <v>1667</v>
      </c>
      <c r="D47" s="230">
        <v>1</v>
      </c>
      <c r="E47" s="230">
        <v>1</v>
      </c>
      <c r="F47" s="235">
        <v>1</v>
      </c>
      <c r="G47" s="231">
        <v>1</v>
      </c>
      <c r="H47" s="231">
        <v>1</v>
      </c>
      <c r="I47" s="232" t="s">
        <v>237</v>
      </c>
      <c r="J47" s="233"/>
      <c r="K47" s="228" t="s">
        <v>1661</v>
      </c>
      <c r="L47" s="223" t="s">
        <v>1666</v>
      </c>
      <c r="M47" s="230">
        <v>2</v>
      </c>
      <c r="N47" s="230">
        <v>2</v>
      </c>
      <c r="O47" s="235">
        <v>2</v>
      </c>
      <c r="P47" s="231">
        <v>1</v>
      </c>
      <c r="Q47" s="231">
        <v>2</v>
      </c>
      <c r="R47" s="236" t="s">
        <v>1668</v>
      </c>
    </row>
    <row r="48" spans="1:18" ht="132" customHeight="1" x14ac:dyDescent="0.2">
      <c r="A48" s="228" t="s">
        <v>1661</v>
      </c>
      <c r="B48" s="223" t="s">
        <v>487</v>
      </c>
      <c r="C48" s="229" t="s">
        <v>1669</v>
      </c>
      <c r="D48" s="230">
        <v>3</v>
      </c>
      <c r="E48" s="230">
        <v>4</v>
      </c>
      <c r="F48" s="235">
        <v>4</v>
      </c>
      <c r="G48" s="231">
        <v>3</v>
      </c>
      <c r="H48" s="231">
        <v>4</v>
      </c>
      <c r="I48" s="236" t="s">
        <v>1670</v>
      </c>
      <c r="J48" s="241"/>
      <c r="K48" s="228" t="s">
        <v>1661</v>
      </c>
      <c r="L48" s="223" t="s">
        <v>487</v>
      </c>
      <c r="M48" s="230">
        <v>0</v>
      </c>
      <c r="N48" s="230">
        <v>0</v>
      </c>
      <c r="O48" s="235">
        <v>0</v>
      </c>
      <c r="P48" s="231">
        <v>0</v>
      </c>
      <c r="Q48" s="231">
        <v>0</v>
      </c>
      <c r="R48" s="239">
        <v>0</v>
      </c>
    </row>
    <row r="49" spans="1:18" ht="114" customHeight="1" x14ac:dyDescent="0.2">
      <c r="A49" s="228" t="s">
        <v>1661</v>
      </c>
      <c r="B49" s="223" t="s">
        <v>1649</v>
      </c>
      <c r="C49" s="229" t="s">
        <v>1671</v>
      </c>
      <c r="D49" s="230">
        <v>0</v>
      </c>
      <c r="E49" s="230">
        <v>1</v>
      </c>
      <c r="F49" s="235">
        <v>1</v>
      </c>
      <c r="G49" s="231">
        <v>3</v>
      </c>
      <c r="H49" s="231">
        <v>5</v>
      </c>
      <c r="I49" s="242">
        <v>0</v>
      </c>
      <c r="J49" s="248"/>
      <c r="K49" s="228" t="s">
        <v>1661</v>
      </c>
      <c r="L49" s="223" t="s">
        <v>1649</v>
      </c>
      <c r="M49" s="230">
        <v>10</v>
      </c>
      <c r="N49" s="230">
        <v>8</v>
      </c>
      <c r="O49" s="235">
        <v>8</v>
      </c>
      <c r="P49" s="231">
        <v>11</v>
      </c>
      <c r="Q49" s="231">
        <v>14</v>
      </c>
      <c r="R49" s="236" t="s">
        <v>1672</v>
      </c>
    </row>
    <row r="50" spans="1:18" ht="87" customHeight="1" x14ac:dyDescent="0.2">
      <c r="A50" s="245" t="s">
        <v>1049</v>
      </c>
      <c r="B50" s="223" t="s">
        <v>1042</v>
      </c>
      <c r="C50" s="229" t="s">
        <v>1673</v>
      </c>
      <c r="D50" s="230">
        <v>3</v>
      </c>
      <c r="E50" s="230">
        <v>2</v>
      </c>
      <c r="F50" s="235">
        <v>2</v>
      </c>
      <c r="G50" s="231">
        <v>1</v>
      </c>
      <c r="H50" s="231">
        <v>1</v>
      </c>
      <c r="I50" s="232" t="s">
        <v>409</v>
      </c>
      <c r="J50" s="233"/>
      <c r="K50" s="245" t="s">
        <v>1049</v>
      </c>
      <c r="L50" s="223" t="s">
        <v>1042</v>
      </c>
      <c r="M50" s="230">
        <v>1</v>
      </c>
      <c r="N50" s="230">
        <v>1</v>
      </c>
      <c r="O50" s="235">
        <v>1</v>
      </c>
      <c r="P50" s="231">
        <v>1</v>
      </c>
      <c r="Q50" s="231">
        <f>+GETPIVOTDATA("SUBCLASIFICACION",'[2]T.D. OPRTND'!$A$3,"CLASIFICACION","ECONOMICO ","SUBCLASIFICACION","INVERSION ")</f>
        <v>1</v>
      </c>
      <c r="R50" s="236" t="s">
        <v>409</v>
      </c>
    </row>
    <row r="51" spans="1:18" ht="111" customHeight="1" x14ac:dyDescent="0.2">
      <c r="A51" s="245" t="s">
        <v>1049</v>
      </c>
      <c r="B51" s="223" t="s">
        <v>1191</v>
      </c>
      <c r="C51" s="229" t="s">
        <v>1674</v>
      </c>
      <c r="D51" s="230">
        <v>2</v>
      </c>
      <c r="E51" s="230">
        <v>1</v>
      </c>
      <c r="F51" s="235">
        <v>1</v>
      </c>
      <c r="G51" s="231">
        <v>2</v>
      </c>
      <c r="H51" s="231">
        <v>2</v>
      </c>
      <c r="I51" s="232" t="s">
        <v>279</v>
      </c>
      <c r="K51" s="245" t="s">
        <v>1049</v>
      </c>
      <c r="L51" s="223" t="s">
        <v>1191</v>
      </c>
      <c r="M51" s="230">
        <v>0</v>
      </c>
      <c r="N51" s="230">
        <v>0</v>
      </c>
      <c r="O51" s="235">
        <v>0</v>
      </c>
      <c r="P51" s="231">
        <v>0</v>
      </c>
      <c r="Q51" s="231">
        <v>1</v>
      </c>
      <c r="R51" s="239">
        <v>0</v>
      </c>
    </row>
    <row r="52" spans="1:18" ht="111" customHeight="1" x14ac:dyDescent="0.2">
      <c r="A52" s="245" t="s">
        <v>1049</v>
      </c>
      <c r="B52" s="223" t="s">
        <v>43</v>
      </c>
      <c r="C52" s="229" t="s">
        <v>1675</v>
      </c>
      <c r="D52" s="230">
        <v>4</v>
      </c>
      <c r="E52" s="230">
        <v>4</v>
      </c>
      <c r="F52" s="235">
        <v>5</v>
      </c>
      <c r="G52" s="231">
        <v>6</v>
      </c>
      <c r="H52" s="231">
        <v>8</v>
      </c>
      <c r="I52" s="232" t="s">
        <v>1988</v>
      </c>
      <c r="J52" s="233"/>
      <c r="K52" s="245" t="s">
        <v>1049</v>
      </c>
      <c r="L52" s="223" t="s">
        <v>43</v>
      </c>
      <c r="M52" s="230">
        <v>1</v>
      </c>
      <c r="N52" s="230">
        <v>1</v>
      </c>
      <c r="O52" s="235">
        <v>1</v>
      </c>
      <c r="P52" s="231">
        <v>2</v>
      </c>
      <c r="Q52" s="231">
        <v>2</v>
      </c>
      <c r="R52" s="236" t="s">
        <v>246</v>
      </c>
    </row>
    <row r="53" spans="1:18" ht="183" customHeight="1" x14ac:dyDescent="0.2">
      <c r="A53" s="245" t="s">
        <v>1038</v>
      </c>
      <c r="B53" s="223" t="s">
        <v>1046</v>
      </c>
      <c r="C53" s="229" t="s">
        <v>1677</v>
      </c>
      <c r="D53" s="230">
        <v>12</v>
      </c>
      <c r="E53" s="230">
        <v>14</v>
      </c>
      <c r="F53" s="235">
        <v>14</v>
      </c>
      <c r="G53" s="231">
        <v>15</v>
      </c>
      <c r="H53" s="231">
        <v>16</v>
      </c>
      <c r="I53" s="232" t="s">
        <v>1678</v>
      </c>
      <c r="J53" s="233"/>
      <c r="K53" s="245" t="s">
        <v>1038</v>
      </c>
      <c r="L53" s="223" t="s">
        <v>1046</v>
      </c>
      <c r="M53" s="230">
        <v>13</v>
      </c>
      <c r="N53" s="230">
        <v>15</v>
      </c>
      <c r="O53" s="235">
        <v>14</v>
      </c>
      <c r="P53" s="231">
        <v>19</v>
      </c>
      <c r="Q53" s="231">
        <v>26</v>
      </c>
      <c r="R53" s="236" t="s">
        <v>2048</v>
      </c>
    </row>
    <row r="54" spans="1:18" ht="189.75" customHeight="1" x14ac:dyDescent="0.2">
      <c r="A54" s="245" t="s">
        <v>1038</v>
      </c>
      <c r="B54" s="223" t="s">
        <v>1680</v>
      </c>
      <c r="C54" s="229" t="s">
        <v>1681</v>
      </c>
      <c r="D54" s="230">
        <v>10</v>
      </c>
      <c r="E54" s="230">
        <v>10</v>
      </c>
      <c r="F54" s="235">
        <v>11</v>
      </c>
      <c r="G54" s="231">
        <v>11</v>
      </c>
      <c r="H54" s="231">
        <v>15</v>
      </c>
      <c r="I54" s="232" t="s">
        <v>1682</v>
      </c>
      <c r="J54" s="233"/>
      <c r="K54" s="245" t="s">
        <v>1038</v>
      </c>
      <c r="L54" s="223" t="s">
        <v>1680</v>
      </c>
      <c r="M54" s="230">
        <v>0</v>
      </c>
      <c r="N54" s="230">
        <v>0</v>
      </c>
      <c r="O54" s="235">
        <v>0</v>
      </c>
      <c r="P54" s="231">
        <v>0</v>
      </c>
      <c r="Q54" s="231"/>
      <c r="R54" s="239">
        <v>0</v>
      </c>
    </row>
    <row r="55" spans="1:18" ht="84" customHeight="1" x14ac:dyDescent="0.2">
      <c r="A55" s="245" t="s">
        <v>1038</v>
      </c>
      <c r="B55" s="223" t="s">
        <v>1683</v>
      </c>
      <c r="C55" s="229" t="s">
        <v>1684</v>
      </c>
      <c r="D55" s="230">
        <v>0</v>
      </c>
      <c r="E55" s="230">
        <v>1</v>
      </c>
      <c r="F55" s="235">
        <v>2</v>
      </c>
      <c r="G55" s="231">
        <v>3</v>
      </c>
      <c r="H55" s="231">
        <v>5</v>
      </c>
      <c r="I55" s="242">
        <v>0</v>
      </c>
      <c r="J55" s="243"/>
      <c r="K55" s="245" t="s">
        <v>1038</v>
      </c>
      <c r="L55" s="223" t="s">
        <v>1683</v>
      </c>
      <c r="M55" s="230">
        <v>2</v>
      </c>
      <c r="N55" s="230">
        <v>2</v>
      </c>
      <c r="O55" s="235">
        <v>2</v>
      </c>
      <c r="P55" s="231">
        <v>2</v>
      </c>
      <c r="Q55" s="231">
        <v>3</v>
      </c>
      <c r="R55" s="236" t="s">
        <v>1686</v>
      </c>
    </row>
    <row r="56" spans="1:18" ht="155.25" customHeight="1" x14ac:dyDescent="0.2">
      <c r="A56" s="245" t="s">
        <v>1038</v>
      </c>
      <c r="B56" s="223" t="s">
        <v>1687</v>
      </c>
      <c r="C56" s="229" t="s">
        <v>1688</v>
      </c>
      <c r="D56" s="230">
        <v>10</v>
      </c>
      <c r="E56" s="230">
        <v>9</v>
      </c>
      <c r="F56" s="235">
        <v>10</v>
      </c>
      <c r="G56" s="231">
        <v>9</v>
      </c>
      <c r="H56" s="231">
        <v>16</v>
      </c>
      <c r="I56" s="232" t="s">
        <v>2042</v>
      </c>
      <c r="J56" s="233"/>
      <c r="K56" s="245" t="s">
        <v>1038</v>
      </c>
      <c r="L56" s="223" t="s">
        <v>1687</v>
      </c>
      <c r="M56" s="230">
        <v>2</v>
      </c>
      <c r="N56" s="230">
        <v>2</v>
      </c>
      <c r="O56" s="235">
        <v>2</v>
      </c>
      <c r="P56" s="231">
        <v>1</v>
      </c>
      <c r="Q56" s="231">
        <v>2</v>
      </c>
      <c r="R56" s="236" t="s">
        <v>2049</v>
      </c>
    </row>
    <row r="57" spans="1:18" ht="144.75" customHeight="1" x14ac:dyDescent="0.2">
      <c r="A57" s="245" t="s">
        <v>1061</v>
      </c>
      <c r="B57" s="223" t="s">
        <v>1081</v>
      </c>
      <c r="C57" s="229" t="s">
        <v>1691</v>
      </c>
      <c r="D57" s="230">
        <v>10</v>
      </c>
      <c r="E57" s="230">
        <v>11</v>
      </c>
      <c r="F57" s="235">
        <v>11</v>
      </c>
      <c r="G57" s="231">
        <v>12</v>
      </c>
      <c r="H57" s="231">
        <v>14</v>
      </c>
      <c r="I57" s="232" t="s">
        <v>2043</v>
      </c>
      <c r="J57" s="233"/>
      <c r="K57" s="245" t="s">
        <v>1061</v>
      </c>
      <c r="L57" s="223" t="s">
        <v>1081</v>
      </c>
      <c r="M57" s="230">
        <v>0</v>
      </c>
      <c r="N57" s="230">
        <v>0</v>
      </c>
      <c r="O57" s="235">
        <v>0</v>
      </c>
      <c r="P57" s="231">
        <v>0</v>
      </c>
      <c r="Q57" s="231">
        <v>2</v>
      </c>
      <c r="R57" s="239">
        <v>0</v>
      </c>
    </row>
    <row r="58" spans="1:18" ht="144.75" customHeight="1" x14ac:dyDescent="0.2">
      <c r="A58" s="245" t="s">
        <v>1061</v>
      </c>
      <c r="B58" s="223" t="s">
        <v>1062</v>
      </c>
      <c r="C58" s="229" t="s">
        <v>1693</v>
      </c>
      <c r="D58" s="230">
        <v>7</v>
      </c>
      <c r="E58" s="230">
        <v>8</v>
      </c>
      <c r="F58" s="235">
        <v>8</v>
      </c>
      <c r="G58" s="231">
        <v>7</v>
      </c>
      <c r="H58" s="231">
        <v>8</v>
      </c>
      <c r="I58" s="232" t="s">
        <v>2044</v>
      </c>
      <c r="J58" s="233"/>
      <c r="K58" s="245" t="s">
        <v>1061</v>
      </c>
      <c r="L58" s="223" t="s">
        <v>1062</v>
      </c>
      <c r="M58" s="230">
        <v>9</v>
      </c>
      <c r="N58" s="230">
        <v>10</v>
      </c>
      <c r="O58" s="235">
        <v>11</v>
      </c>
      <c r="P58" s="231">
        <v>12</v>
      </c>
      <c r="Q58" s="231">
        <v>13</v>
      </c>
      <c r="R58" s="236" t="s">
        <v>2050</v>
      </c>
    </row>
    <row r="59" spans="1:18" ht="142.5" customHeight="1" x14ac:dyDescent="0.2">
      <c r="A59" s="245" t="s">
        <v>1061</v>
      </c>
      <c r="B59" s="223" t="s">
        <v>1123</v>
      </c>
      <c r="C59" s="229" t="s">
        <v>1696</v>
      </c>
      <c r="D59" s="230">
        <v>0</v>
      </c>
      <c r="E59" s="230">
        <v>0</v>
      </c>
      <c r="F59" s="235">
        <v>0</v>
      </c>
      <c r="G59" s="231">
        <v>0</v>
      </c>
      <c r="H59" s="231">
        <v>1</v>
      </c>
      <c r="I59" s="242">
        <v>0</v>
      </c>
      <c r="J59" s="248"/>
      <c r="K59" s="245" t="s">
        <v>1061</v>
      </c>
      <c r="L59" s="223" t="s">
        <v>1123</v>
      </c>
      <c r="M59" s="230">
        <v>9</v>
      </c>
      <c r="N59" s="230">
        <v>10</v>
      </c>
      <c r="O59" s="235">
        <v>12</v>
      </c>
      <c r="P59" s="231">
        <v>14</v>
      </c>
      <c r="Q59" s="231">
        <v>14</v>
      </c>
      <c r="R59" s="236" t="s">
        <v>2051</v>
      </c>
    </row>
    <row r="60" spans="1:18" ht="208.5" customHeight="1" x14ac:dyDescent="0.2">
      <c r="A60" s="245" t="s">
        <v>1034</v>
      </c>
      <c r="B60" s="223" t="s">
        <v>1035</v>
      </c>
      <c r="C60" s="229" t="s">
        <v>1698</v>
      </c>
      <c r="D60" s="230">
        <v>12</v>
      </c>
      <c r="E60" s="230">
        <v>12</v>
      </c>
      <c r="F60" s="235">
        <v>12</v>
      </c>
      <c r="G60" s="231">
        <v>14</v>
      </c>
      <c r="H60" s="231">
        <v>14</v>
      </c>
      <c r="I60" s="232" t="s">
        <v>1699</v>
      </c>
      <c r="J60" s="233"/>
      <c r="K60" s="245" t="s">
        <v>1034</v>
      </c>
      <c r="L60" s="223" t="s">
        <v>1035</v>
      </c>
      <c r="M60" s="230">
        <v>0</v>
      </c>
      <c r="N60" s="230">
        <v>0</v>
      </c>
      <c r="O60" s="235">
        <v>0</v>
      </c>
      <c r="P60" s="231">
        <v>0</v>
      </c>
      <c r="Q60" s="231">
        <f>+GETPIVOTDATA("SUBCLASIFICACION",'[2]T.D. OPRTND'!$A$3,"CLASIFICACION","AMBIENTAL","SUBCLASIFICACION","CLIMA")</f>
        <v>1</v>
      </c>
      <c r="R60" s="239">
        <v>0</v>
      </c>
    </row>
    <row r="61" spans="1:18" ht="129" customHeight="1" x14ac:dyDescent="0.2">
      <c r="A61" s="245" t="s">
        <v>1034</v>
      </c>
      <c r="B61" s="223" t="s">
        <v>1700</v>
      </c>
      <c r="C61" s="229" t="s">
        <v>1701</v>
      </c>
      <c r="D61" s="230">
        <v>6</v>
      </c>
      <c r="E61" s="230">
        <v>6</v>
      </c>
      <c r="F61" s="235">
        <v>6</v>
      </c>
      <c r="G61" s="231">
        <v>8</v>
      </c>
      <c r="H61" s="231">
        <v>9</v>
      </c>
      <c r="I61" s="232" t="s">
        <v>1702</v>
      </c>
      <c r="J61" s="233"/>
      <c r="K61" s="245" t="s">
        <v>1034</v>
      </c>
      <c r="L61" s="223" t="s">
        <v>1700</v>
      </c>
      <c r="M61" s="230">
        <v>0</v>
      </c>
      <c r="N61" s="230">
        <v>0</v>
      </c>
      <c r="O61" s="235">
        <v>0</v>
      </c>
      <c r="P61" s="231">
        <v>0</v>
      </c>
      <c r="Q61" s="231">
        <v>9</v>
      </c>
      <c r="R61" s="239">
        <v>0</v>
      </c>
    </row>
    <row r="62" spans="1:18" ht="69" customHeight="1" x14ac:dyDescent="0.2">
      <c r="A62" s="245" t="s">
        <v>1245</v>
      </c>
      <c r="B62" s="223" t="s">
        <v>1703</v>
      </c>
      <c r="C62" s="229" t="s">
        <v>1704</v>
      </c>
      <c r="D62" s="230">
        <v>2</v>
      </c>
      <c r="E62" s="230">
        <v>1</v>
      </c>
      <c r="F62" s="235">
        <v>1</v>
      </c>
      <c r="G62" s="231">
        <v>1</v>
      </c>
      <c r="H62" s="231">
        <f>+GETPIVOTDATA("SUBCLASIFICACION",'[2]T.D.AMENZ'!$A$3,"CLASIFICACION","LEGAL ","SUBCLASIFICACION","CONFIABILIDAD")</f>
        <v>1</v>
      </c>
      <c r="I62" s="232" t="s">
        <v>2045</v>
      </c>
      <c r="J62" s="233"/>
      <c r="K62" s="245" t="s">
        <v>1245</v>
      </c>
      <c r="L62" s="223" t="s">
        <v>1703</v>
      </c>
      <c r="M62" s="230">
        <v>0</v>
      </c>
      <c r="N62" s="230">
        <v>0</v>
      </c>
      <c r="O62" s="235">
        <v>0</v>
      </c>
      <c r="P62" s="231">
        <v>1</v>
      </c>
      <c r="Q62" s="231">
        <v>1</v>
      </c>
      <c r="R62" s="239">
        <v>0</v>
      </c>
    </row>
    <row r="63" spans="1:18" ht="110.25" customHeight="1" x14ac:dyDescent="0.2">
      <c r="A63" s="245" t="s">
        <v>1245</v>
      </c>
      <c r="B63" s="223" t="s">
        <v>1050</v>
      </c>
      <c r="C63" s="229" t="s">
        <v>1705</v>
      </c>
      <c r="D63" s="230">
        <v>2</v>
      </c>
      <c r="E63" s="230">
        <v>2</v>
      </c>
      <c r="F63" s="235">
        <v>2</v>
      </c>
      <c r="G63" s="231">
        <v>6</v>
      </c>
      <c r="H63" s="231">
        <v>7</v>
      </c>
      <c r="I63" s="232" t="s">
        <v>1989</v>
      </c>
      <c r="J63" s="233"/>
      <c r="K63" s="245" t="s">
        <v>1245</v>
      </c>
      <c r="L63" s="223" t="s">
        <v>1050</v>
      </c>
      <c r="M63" s="230">
        <v>5</v>
      </c>
      <c r="N63" s="230">
        <v>7</v>
      </c>
      <c r="O63" s="235">
        <v>8</v>
      </c>
      <c r="P63" s="231">
        <v>7</v>
      </c>
      <c r="Q63" s="231">
        <v>10</v>
      </c>
      <c r="R63" s="236" t="s">
        <v>2052</v>
      </c>
    </row>
    <row r="64" spans="1:18" ht="54.6" customHeight="1" x14ac:dyDescent="0.2">
      <c r="A64" s="245" t="s">
        <v>1245</v>
      </c>
      <c r="B64" s="223" t="s">
        <v>1708</v>
      </c>
      <c r="C64" s="229" t="s">
        <v>1709</v>
      </c>
      <c r="D64" s="230">
        <v>2</v>
      </c>
      <c r="E64" s="230">
        <v>1</v>
      </c>
      <c r="F64" s="235">
        <v>2</v>
      </c>
      <c r="G64" s="231">
        <v>2</v>
      </c>
      <c r="H64" s="231">
        <v>3</v>
      </c>
      <c r="I64" s="232" t="s">
        <v>2009</v>
      </c>
      <c r="J64" s="233"/>
      <c r="K64" s="245" t="s">
        <v>1245</v>
      </c>
      <c r="L64" s="223" t="s">
        <v>1708</v>
      </c>
      <c r="M64" s="230">
        <v>4</v>
      </c>
      <c r="N64" s="230">
        <v>3</v>
      </c>
      <c r="O64" s="235">
        <v>4</v>
      </c>
      <c r="P64" s="231">
        <v>4</v>
      </c>
      <c r="Q64" s="231">
        <v>4</v>
      </c>
      <c r="R64" s="236" t="s">
        <v>2053</v>
      </c>
    </row>
    <row r="65" spans="1:18" ht="187.5" customHeight="1" x14ac:dyDescent="0.2">
      <c r="A65" s="245" t="s">
        <v>1245</v>
      </c>
      <c r="B65" s="223" t="s">
        <v>1711</v>
      </c>
      <c r="C65" s="229" t="s">
        <v>1712</v>
      </c>
      <c r="D65" s="230">
        <v>10</v>
      </c>
      <c r="E65" s="230">
        <v>9</v>
      </c>
      <c r="F65" s="235">
        <v>13</v>
      </c>
      <c r="G65" s="231">
        <v>14</v>
      </c>
      <c r="H65" s="231">
        <v>13</v>
      </c>
      <c r="I65" s="232" t="s">
        <v>2046</v>
      </c>
      <c r="J65" s="233"/>
      <c r="K65" s="245" t="s">
        <v>1245</v>
      </c>
      <c r="L65" s="223" t="s">
        <v>1711</v>
      </c>
      <c r="M65" s="230">
        <v>1</v>
      </c>
      <c r="N65" s="230">
        <v>1</v>
      </c>
      <c r="O65" s="235">
        <v>1</v>
      </c>
      <c r="P65" s="231">
        <v>1</v>
      </c>
      <c r="Q65" s="231">
        <v>2</v>
      </c>
      <c r="R65" s="236" t="s">
        <v>57</v>
      </c>
    </row>
    <row r="66" spans="1:18" ht="219.75" customHeight="1" x14ac:dyDescent="0.2">
      <c r="A66" s="245" t="s">
        <v>1245</v>
      </c>
      <c r="B66" s="223" t="s">
        <v>1714</v>
      </c>
      <c r="C66" s="229" t="s">
        <v>1715</v>
      </c>
      <c r="D66" s="230">
        <v>14</v>
      </c>
      <c r="E66" s="230">
        <v>14</v>
      </c>
      <c r="F66" s="235">
        <v>19</v>
      </c>
      <c r="G66" s="231">
        <v>22</v>
      </c>
      <c r="H66" s="231">
        <v>19</v>
      </c>
      <c r="I66" s="232" t="s">
        <v>2047</v>
      </c>
      <c r="J66" s="233"/>
      <c r="K66" s="245" t="s">
        <v>1245</v>
      </c>
      <c r="L66" s="223" t="s">
        <v>1714</v>
      </c>
      <c r="M66" s="230">
        <v>6</v>
      </c>
      <c r="N66" s="230">
        <v>5</v>
      </c>
      <c r="O66" s="235">
        <v>6</v>
      </c>
      <c r="P66" s="231">
        <v>7</v>
      </c>
      <c r="Q66" s="231">
        <v>8</v>
      </c>
      <c r="R66" s="236" t="s">
        <v>2054</v>
      </c>
    </row>
    <row r="67" spans="1:18" ht="206.25" customHeight="1" x14ac:dyDescent="0.2">
      <c r="A67" s="228" t="s">
        <v>1022</v>
      </c>
      <c r="B67" s="223" t="s">
        <v>1072</v>
      </c>
      <c r="C67" s="229" t="s">
        <v>1718</v>
      </c>
      <c r="D67" s="230">
        <v>0</v>
      </c>
      <c r="E67" s="230">
        <v>1</v>
      </c>
      <c r="F67" s="235">
        <v>1</v>
      </c>
      <c r="G67" s="231">
        <v>1</v>
      </c>
      <c r="H67" s="231">
        <v>1</v>
      </c>
      <c r="I67" s="242">
        <v>0</v>
      </c>
      <c r="J67" s="243"/>
      <c r="K67" s="228" t="s">
        <v>1022</v>
      </c>
      <c r="L67" s="223" t="s">
        <v>1072</v>
      </c>
      <c r="M67" s="230">
        <v>12</v>
      </c>
      <c r="N67" s="230">
        <v>15</v>
      </c>
      <c r="O67" s="235">
        <v>14</v>
      </c>
      <c r="P67" s="231">
        <v>14</v>
      </c>
      <c r="Q67" s="231">
        <v>16</v>
      </c>
      <c r="R67" s="236" t="s">
        <v>2055</v>
      </c>
    </row>
    <row r="68" spans="1:18" ht="72.75" customHeight="1" x14ac:dyDescent="0.2">
      <c r="A68" s="228" t="s">
        <v>1022</v>
      </c>
      <c r="B68" s="223" t="s">
        <v>1120</v>
      </c>
      <c r="C68" s="229" t="s">
        <v>1720</v>
      </c>
      <c r="D68" s="230">
        <v>3</v>
      </c>
      <c r="E68" s="230">
        <v>3</v>
      </c>
      <c r="F68" s="235">
        <v>2</v>
      </c>
      <c r="G68" s="231">
        <v>0</v>
      </c>
      <c r="H68" s="231"/>
      <c r="I68" s="236" t="s">
        <v>1996</v>
      </c>
      <c r="J68" s="271"/>
      <c r="K68" s="228" t="s">
        <v>1022</v>
      </c>
      <c r="L68" s="223" t="s">
        <v>1120</v>
      </c>
      <c r="M68" s="230">
        <v>4</v>
      </c>
      <c r="N68" s="230">
        <v>3</v>
      </c>
      <c r="O68" s="235">
        <v>3</v>
      </c>
      <c r="P68" s="231">
        <v>6</v>
      </c>
      <c r="Q68" s="231">
        <v>6</v>
      </c>
      <c r="R68" s="236" t="s">
        <v>1722</v>
      </c>
    </row>
    <row r="69" spans="1:18" ht="162.75" customHeight="1" x14ac:dyDescent="0.2">
      <c r="A69" s="228" t="s">
        <v>1022</v>
      </c>
      <c r="B69" s="223" t="s">
        <v>1023</v>
      </c>
      <c r="C69" s="229" t="s">
        <v>1723</v>
      </c>
      <c r="D69" s="230">
        <v>4</v>
      </c>
      <c r="E69" s="230">
        <v>4</v>
      </c>
      <c r="F69" s="235">
        <v>3</v>
      </c>
      <c r="G69" s="231">
        <v>4</v>
      </c>
      <c r="H69" s="231">
        <v>4</v>
      </c>
      <c r="I69" s="232" t="s">
        <v>1997</v>
      </c>
      <c r="J69" s="233"/>
      <c r="K69" s="228" t="s">
        <v>1022</v>
      </c>
      <c r="L69" s="223" t="s">
        <v>1023</v>
      </c>
      <c r="M69" s="230">
        <v>20</v>
      </c>
      <c r="N69" s="230">
        <v>21</v>
      </c>
      <c r="O69" s="235">
        <v>21</v>
      </c>
      <c r="P69" s="231">
        <v>24</v>
      </c>
      <c r="Q69" s="231">
        <v>28</v>
      </c>
      <c r="R69" s="236" t="s">
        <v>1725</v>
      </c>
    </row>
    <row r="70" spans="1:18" ht="101.25" customHeight="1" thickBot="1" x14ac:dyDescent="0.25">
      <c r="A70" s="250" t="s">
        <v>1022</v>
      </c>
      <c r="B70" s="251" t="s">
        <v>1884</v>
      </c>
      <c r="C70" s="252" t="s">
        <v>1726</v>
      </c>
      <c r="D70" s="253">
        <v>2</v>
      </c>
      <c r="E70" s="253">
        <v>3</v>
      </c>
      <c r="F70" s="272">
        <v>3</v>
      </c>
      <c r="G70" s="254">
        <v>2</v>
      </c>
      <c r="H70" s="254">
        <v>5</v>
      </c>
      <c r="I70" s="273" t="s">
        <v>1997</v>
      </c>
      <c r="J70" s="233"/>
      <c r="K70" s="250" t="s">
        <v>1022</v>
      </c>
      <c r="L70" s="251" t="s">
        <v>1884</v>
      </c>
      <c r="M70" s="253">
        <v>2</v>
      </c>
      <c r="N70" s="253">
        <v>3</v>
      </c>
      <c r="O70" s="272">
        <v>3</v>
      </c>
      <c r="P70" s="254">
        <v>2</v>
      </c>
      <c r="Q70" s="254">
        <v>3</v>
      </c>
      <c r="R70" s="274" t="s">
        <v>1728</v>
      </c>
    </row>
    <row r="71" spans="1:18" ht="15" customHeight="1" x14ac:dyDescent="0.2">
      <c r="A71" s="275"/>
    </row>
    <row r="72" spans="1:18" ht="15" customHeight="1" x14ac:dyDescent="0.2"/>
    <row r="73" spans="1:18" ht="15" customHeight="1" x14ac:dyDescent="0.2"/>
    <row r="74" spans="1:18" ht="15" customHeight="1" x14ac:dyDescent="0.2"/>
  </sheetData>
  <sheetProtection algorithmName="SHA-512" hashValue="+2JMgezeJRSdt6CZbP/s+tE5Dr+UzHU2tUoPfqLbc7hB4iMBGRbFl2bmFTk6gieH+mx0MkijgIf2mTt/jZL5ww==" saltValue="Mu8oYILEzlr9ozFjAF3auw==" spinCount="100000" sheet="1" objects="1" scenarios="1"/>
  <mergeCells count="4">
    <mergeCell ref="A1:B1"/>
    <mergeCell ref="A45:B45"/>
    <mergeCell ref="K1:L1"/>
    <mergeCell ref="K45:L45"/>
  </mergeCells>
  <phoneticPr fontId="28" type="noConversion"/>
  <pageMargins left="0.7" right="0.7" top="0.75" bottom="0.75" header="0.3" footer="0.3"/>
  <pageSetup paperSize="9" scale="12" orientation="portrait" horizontalDpi="200" verticalDpi="200" r:id="rId1"/>
  <rowBreaks count="1" manualBreakCount="1">
    <brk id="43" max="18"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22"/>
  <sheetViews>
    <sheetView workbookViewId="0">
      <selection activeCell="I30" sqref="I30"/>
    </sheetView>
  </sheetViews>
  <sheetFormatPr baseColWidth="10" defaultColWidth="11.42578125" defaultRowHeight="15" x14ac:dyDescent="0.25"/>
  <cols>
    <col min="6" max="6" width="16.5703125" customWidth="1"/>
    <col min="7" max="7" width="20.140625" customWidth="1"/>
  </cols>
  <sheetData>
    <row r="1" spans="1:7" x14ac:dyDescent="0.25">
      <c r="A1" t="s">
        <v>0</v>
      </c>
      <c r="B1" t="s">
        <v>1</v>
      </c>
      <c r="C1" t="s">
        <v>2</v>
      </c>
      <c r="D1" t="s">
        <v>3</v>
      </c>
      <c r="E1" t="s">
        <v>4</v>
      </c>
      <c r="F1" t="s">
        <v>5</v>
      </c>
      <c r="G1" t="s">
        <v>6</v>
      </c>
    </row>
    <row r="2" spans="1:7" x14ac:dyDescent="0.25">
      <c r="A2">
        <v>673</v>
      </c>
      <c r="B2">
        <v>2022</v>
      </c>
      <c r="C2" t="s">
        <v>548</v>
      </c>
      <c r="D2" t="s">
        <v>8</v>
      </c>
      <c r="E2" t="s">
        <v>557</v>
      </c>
      <c r="F2" t="s">
        <v>1837</v>
      </c>
      <c r="G2" t="s">
        <v>138</v>
      </c>
    </row>
    <row r="3" spans="1:7" x14ac:dyDescent="0.25">
      <c r="A3">
        <v>674</v>
      </c>
      <c r="B3">
        <v>2022</v>
      </c>
      <c r="C3" t="s">
        <v>548</v>
      </c>
      <c r="D3" t="s">
        <v>8</v>
      </c>
      <c r="E3" t="s">
        <v>558</v>
      </c>
      <c r="F3" t="s">
        <v>1837</v>
      </c>
      <c r="G3" t="s">
        <v>71</v>
      </c>
    </row>
    <row r="4" spans="1:7" x14ac:dyDescent="0.25">
      <c r="A4">
        <v>669</v>
      </c>
      <c r="B4">
        <v>2022</v>
      </c>
      <c r="C4" t="s">
        <v>548</v>
      </c>
      <c r="D4" t="s">
        <v>8</v>
      </c>
      <c r="E4" t="s">
        <v>554</v>
      </c>
      <c r="F4" t="s">
        <v>16</v>
      </c>
      <c r="G4" t="s">
        <v>144</v>
      </c>
    </row>
    <row r="5" spans="1:7" x14ac:dyDescent="0.25">
      <c r="A5">
        <v>668</v>
      </c>
      <c r="B5">
        <v>2022</v>
      </c>
      <c r="C5" t="s">
        <v>548</v>
      </c>
      <c r="D5" t="s">
        <v>8</v>
      </c>
      <c r="E5" t="s">
        <v>553</v>
      </c>
      <c r="F5" t="s">
        <v>11</v>
      </c>
      <c r="G5" t="s">
        <v>58</v>
      </c>
    </row>
    <row r="6" spans="1:7" x14ac:dyDescent="0.25">
      <c r="A6">
        <v>672</v>
      </c>
      <c r="B6">
        <v>2022</v>
      </c>
      <c r="C6" t="s">
        <v>548</v>
      </c>
      <c r="D6" t="s">
        <v>8</v>
      </c>
      <c r="E6" t="s">
        <v>556</v>
      </c>
      <c r="F6" t="s">
        <v>1837</v>
      </c>
      <c r="G6" t="s">
        <v>107</v>
      </c>
    </row>
    <row r="7" spans="1:7" x14ac:dyDescent="0.25">
      <c r="A7">
        <v>671</v>
      </c>
      <c r="B7">
        <v>2022</v>
      </c>
      <c r="C7" t="s">
        <v>548</v>
      </c>
      <c r="D7" t="s">
        <v>8</v>
      </c>
      <c r="E7" t="s">
        <v>555</v>
      </c>
      <c r="F7" t="s">
        <v>1837</v>
      </c>
      <c r="G7" t="s">
        <v>68</v>
      </c>
    </row>
    <row r="8" spans="1:7" x14ac:dyDescent="0.25">
      <c r="A8">
        <v>667</v>
      </c>
      <c r="B8">
        <v>2022</v>
      </c>
      <c r="C8" t="s">
        <v>548</v>
      </c>
      <c r="D8" t="s">
        <v>8</v>
      </c>
      <c r="E8" t="s">
        <v>552</v>
      </c>
      <c r="F8" t="s">
        <v>12</v>
      </c>
      <c r="G8" t="s">
        <v>32</v>
      </c>
    </row>
    <row r="9" spans="1:7" x14ac:dyDescent="0.25">
      <c r="A9">
        <v>666</v>
      </c>
      <c r="B9">
        <v>2022</v>
      </c>
      <c r="C9" t="s">
        <v>548</v>
      </c>
      <c r="D9" t="s">
        <v>8</v>
      </c>
      <c r="E9" t="s">
        <v>551</v>
      </c>
      <c r="F9" t="s">
        <v>12</v>
      </c>
      <c r="G9" t="s">
        <v>32</v>
      </c>
    </row>
    <row r="10" spans="1:7" x14ac:dyDescent="0.25">
      <c r="A10">
        <v>691</v>
      </c>
      <c r="B10">
        <v>2022</v>
      </c>
      <c r="C10" t="s">
        <v>548</v>
      </c>
      <c r="D10" t="s">
        <v>34</v>
      </c>
      <c r="E10" t="s">
        <v>569</v>
      </c>
      <c r="F10" t="s">
        <v>11</v>
      </c>
      <c r="G10" t="s">
        <v>1639</v>
      </c>
    </row>
    <row r="11" spans="1:7" x14ac:dyDescent="0.25">
      <c r="A11">
        <v>688</v>
      </c>
      <c r="B11">
        <v>2022</v>
      </c>
      <c r="C11" t="s">
        <v>548</v>
      </c>
      <c r="D11" t="s">
        <v>34</v>
      </c>
      <c r="E11" t="s">
        <v>566</v>
      </c>
      <c r="F11" t="s">
        <v>1837</v>
      </c>
      <c r="G11" t="s">
        <v>71</v>
      </c>
    </row>
    <row r="12" spans="1:7" x14ac:dyDescent="0.25">
      <c r="A12">
        <v>690</v>
      </c>
      <c r="B12">
        <v>2022</v>
      </c>
      <c r="C12" t="s">
        <v>548</v>
      </c>
      <c r="D12" t="s">
        <v>34</v>
      </c>
      <c r="E12" t="s">
        <v>568</v>
      </c>
      <c r="F12" t="s">
        <v>12</v>
      </c>
      <c r="G12" t="s">
        <v>13</v>
      </c>
    </row>
    <row r="13" spans="1:7" x14ac:dyDescent="0.25">
      <c r="A13">
        <v>686</v>
      </c>
      <c r="B13">
        <v>2022</v>
      </c>
      <c r="C13" t="s">
        <v>548</v>
      </c>
      <c r="D13" t="s">
        <v>34</v>
      </c>
      <c r="E13" t="s">
        <v>564</v>
      </c>
      <c r="F13" t="s">
        <v>1837</v>
      </c>
      <c r="G13" t="s">
        <v>107</v>
      </c>
    </row>
    <row r="14" spans="1:7" x14ac:dyDescent="0.25">
      <c r="A14">
        <v>685</v>
      </c>
      <c r="B14">
        <v>2022</v>
      </c>
      <c r="C14" t="s">
        <v>548</v>
      </c>
      <c r="D14" t="s">
        <v>34</v>
      </c>
      <c r="E14" t="s">
        <v>562</v>
      </c>
      <c r="F14" t="s">
        <v>1837</v>
      </c>
      <c r="G14" t="s">
        <v>107</v>
      </c>
    </row>
    <row r="15" spans="1:7" x14ac:dyDescent="0.25">
      <c r="A15">
        <v>689</v>
      </c>
      <c r="B15">
        <v>2022</v>
      </c>
      <c r="C15" t="s">
        <v>548</v>
      </c>
      <c r="D15" t="s">
        <v>34</v>
      </c>
      <c r="E15" t="s">
        <v>567</v>
      </c>
      <c r="F15" t="s">
        <v>11</v>
      </c>
      <c r="G15" t="s">
        <v>172</v>
      </c>
    </row>
    <row r="16" spans="1:7" x14ac:dyDescent="0.25">
      <c r="A16">
        <v>687</v>
      </c>
      <c r="B16">
        <v>2022</v>
      </c>
      <c r="C16" t="s">
        <v>548</v>
      </c>
      <c r="D16" t="s">
        <v>34</v>
      </c>
      <c r="E16" t="s">
        <v>565</v>
      </c>
      <c r="F16" t="s">
        <v>12</v>
      </c>
      <c r="G16" t="s">
        <v>32</v>
      </c>
    </row>
    <row r="17" spans="1:7" x14ac:dyDescent="0.25">
      <c r="A17">
        <v>684</v>
      </c>
      <c r="B17">
        <v>2022</v>
      </c>
      <c r="C17" t="s">
        <v>548</v>
      </c>
      <c r="D17" t="s">
        <v>34</v>
      </c>
      <c r="E17" t="s">
        <v>559</v>
      </c>
      <c r="F17" t="s">
        <v>12</v>
      </c>
      <c r="G17" t="s">
        <v>32</v>
      </c>
    </row>
    <row r="18" spans="1:7" x14ac:dyDescent="0.25">
      <c r="A18">
        <v>739</v>
      </c>
      <c r="B18">
        <v>2022</v>
      </c>
      <c r="C18" t="s">
        <v>548</v>
      </c>
      <c r="D18" t="s">
        <v>61</v>
      </c>
      <c r="E18" t="s">
        <v>604</v>
      </c>
      <c r="F18" t="s">
        <v>9</v>
      </c>
      <c r="G18" t="s">
        <v>145</v>
      </c>
    </row>
    <row r="19" spans="1:7" x14ac:dyDescent="0.25">
      <c r="A19">
        <v>721</v>
      </c>
      <c r="B19">
        <v>2022</v>
      </c>
      <c r="C19" t="s">
        <v>548</v>
      </c>
      <c r="D19" t="s">
        <v>61</v>
      </c>
      <c r="E19" t="s">
        <v>570</v>
      </c>
      <c r="F19" t="s">
        <v>9</v>
      </c>
      <c r="G19" t="s">
        <v>10</v>
      </c>
    </row>
    <row r="20" spans="1:7" x14ac:dyDescent="0.25">
      <c r="A20">
        <v>745</v>
      </c>
      <c r="B20">
        <v>2022</v>
      </c>
      <c r="C20" t="s">
        <v>548</v>
      </c>
      <c r="D20" t="s">
        <v>61</v>
      </c>
      <c r="E20" t="s">
        <v>607</v>
      </c>
      <c r="F20" t="s">
        <v>9</v>
      </c>
      <c r="G20" t="s">
        <v>173</v>
      </c>
    </row>
    <row r="21" spans="1:7" x14ac:dyDescent="0.25">
      <c r="A21">
        <v>723</v>
      </c>
      <c r="B21">
        <v>2022</v>
      </c>
      <c r="C21" t="s">
        <v>548</v>
      </c>
      <c r="D21" t="s">
        <v>61</v>
      </c>
      <c r="E21" t="s">
        <v>592</v>
      </c>
      <c r="F21" t="s">
        <v>11</v>
      </c>
      <c r="G21" t="s">
        <v>1639</v>
      </c>
    </row>
    <row r="22" spans="1:7" x14ac:dyDescent="0.25">
      <c r="A22">
        <v>750</v>
      </c>
      <c r="B22">
        <v>2022</v>
      </c>
      <c r="C22" t="s">
        <v>548</v>
      </c>
      <c r="D22" t="s">
        <v>61</v>
      </c>
      <c r="E22" t="s">
        <v>610</v>
      </c>
      <c r="F22" t="s">
        <v>1837</v>
      </c>
      <c r="G22" t="s">
        <v>138</v>
      </c>
    </row>
    <row r="23" spans="1:7" x14ac:dyDescent="0.25">
      <c r="A23">
        <v>733</v>
      </c>
      <c r="B23">
        <v>2022</v>
      </c>
      <c r="C23" t="s">
        <v>548</v>
      </c>
      <c r="D23" t="s">
        <v>61</v>
      </c>
      <c r="E23" t="s">
        <v>601</v>
      </c>
      <c r="F23" t="s">
        <v>1837</v>
      </c>
      <c r="G23" t="s">
        <v>138</v>
      </c>
    </row>
    <row r="24" spans="1:7" x14ac:dyDescent="0.25">
      <c r="A24">
        <v>722</v>
      </c>
      <c r="B24">
        <v>2022</v>
      </c>
      <c r="C24" t="s">
        <v>548</v>
      </c>
      <c r="D24" t="s">
        <v>61</v>
      </c>
      <c r="E24" t="s">
        <v>581</v>
      </c>
      <c r="F24" t="s">
        <v>1837</v>
      </c>
      <c r="G24" t="s">
        <v>138</v>
      </c>
    </row>
    <row r="25" spans="1:7" x14ac:dyDescent="0.25">
      <c r="A25">
        <v>748</v>
      </c>
      <c r="B25">
        <v>2022</v>
      </c>
      <c r="C25" t="s">
        <v>548</v>
      </c>
      <c r="D25" t="s">
        <v>61</v>
      </c>
      <c r="E25" t="s">
        <v>609</v>
      </c>
      <c r="F25" t="s">
        <v>9</v>
      </c>
      <c r="G25" t="s">
        <v>26</v>
      </c>
    </row>
    <row r="26" spans="1:7" x14ac:dyDescent="0.25">
      <c r="A26">
        <v>724</v>
      </c>
      <c r="B26">
        <v>2022</v>
      </c>
      <c r="C26" t="s">
        <v>548</v>
      </c>
      <c r="D26" t="s">
        <v>61</v>
      </c>
      <c r="E26" t="s">
        <v>599</v>
      </c>
      <c r="F26" t="s">
        <v>12</v>
      </c>
      <c r="G26" t="s">
        <v>13</v>
      </c>
    </row>
    <row r="27" spans="1:7" x14ac:dyDescent="0.25">
      <c r="A27">
        <v>751</v>
      </c>
      <c r="B27">
        <v>2022</v>
      </c>
      <c r="C27" t="s">
        <v>548</v>
      </c>
      <c r="D27" t="s">
        <v>61</v>
      </c>
      <c r="E27" t="s">
        <v>611</v>
      </c>
      <c r="F27" t="s">
        <v>11</v>
      </c>
      <c r="G27" t="s">
        <v>58</v>
      </c>
    </row>
    <row r="28" spans="1:7" x14ac:dyDescent="0.25">
      <c r="A28">
        <v>736</v>
      </c>
      <c r="B28">
        <v>2022</v>
      </c>
      <c r="C28" t="s">
        <v>548</v>
      </c>
      <c r="D28" t="s">
        <v>61</v>
      </c>
      <c r="E28" t="s">
        <v>603</v>
      </c>
      <c r="F28" t="s">
        <v>11</v>
      </c>
      <c r="G28" t="s">
        <v>58</v>
      </c>
    </row>
    <row r="29" spans="1:7" x14ac:dyDescent="0.25">
      <c r="A29">
        <v>747</v>
      </c>
      <c r="B29">
        <v>2022</v>
      </c>
      <c r="C29" t="s">
        <v>548</v>
      </c>
      <c r="D29" t="s">
        <v>61</v>
      </c>
      <c r="E29" t="s">
        <v>608</v>
      </c>
      <c r="F29" t="s">
        <v>42</v>
      </c>
      <c r="G29" t="s">
        <v>43</v>
      </c>
    </row>
    <row r="30" spans="1:7" x14ac:dyDescent="0.25">
      <c r="A30">
        <v>734</v>
      </c>
      <c r="B30">
        <v>2022</v>
      </c>
      <c r="C30" t="s">
        <v>548</v>
      </c>
      <c r="D30" t="s">
        <v>61</v>
      </c>
      <c r="E30" t="s">
        <v>602</v>
      </c>
      <c r="F30" t="s">
        <v>1837</v>
      </c>
      <c r="G30" t="s">
        <v>68</v>
      </c>
    </row>
    <row r="31" spans="1:7" x14ac:dyDescent="0.25">
      <c r="A31">
        <v>752</v>
      </c>
      <c r="B31">
        <v>2022</v>
      </c>
      <c r="C31" t="s">
        <v>548</v>
      </c>
      <c r="D31" t="s">
        <v>61</v>
      </c>
      <c r="E31" t="s">
        <v>612</v>
      </c>
      <c r="F31" t="s">
        <v>12</v>
      </c>
      <c r="G31" t="s">
        <v>32</v>
      </c>
    </row>
    <row r="32" spans="1:7" x14ac:dyDescent="0.25">
      <c r="A32">
        <v>742</v>
      </c>
      <c r="B32">
        <v>2022</v>
      </c>
      <c r="C32" t="s">
        <v>548</v>
      </c>
      <c r="D32" t="s">
        <v>61</v>
      </c>
      <c r="E32" t="s">
        <v>605</v>
      </c>
      <c r="F32" t="s">
        <v>12</v>
      </c>
      <c r="G32" t="s">
        <v>32</v>
      </c>
    </row>
    <row r="33" spans="1:7" x14ac:dyDescent="0.25">
      <c r="A33">
        <v>732</v>
      </c>
      <c r="B33">
        <v>2022</v>
      </c>
      <c r="C33" t="s">
        <v>548</v>
      </c>
      <c r="D33" t="s">
        <v>61</v>
      </c>
      <c r="E33" t="s">
        <v>600</v>
      </c>
      <c r="F33" t="s">
        <v>12</v>
      </c>
      <c r="G33" t="s">
        <v>32</v>
      </c>
    </row>
    <row r="34" spans="1:7" x14ac:dyDescent="0.25">
      <c r="A34">
        <v>744</v>
      </c>
      <c r="B34">
        <v>2022</v>
      </c>
      <c r="C34" t="s">
        <v>548</v>
      </c>
      <c r="D34" t="s">
        <v>61</v>
      </c>
      <c r="E34" t="s">
        <v>606</v>
      </c>
      <c r="F34" t="s">
        <v>9</v>
      </c>
      <c r="G34" t="s">
        <v>33</v>
      </c>
    </row>
    <row r="35" spans="1:7" x14ac:dyDescent="0.25">
      <c r="A35">
        <v>790</v>
      </c>
      <c r="B35">
        <v>2022</v>
      </c>
      <c r="C35" t="s">
        <v>548</v>
      </c>
      <c r="D35" t="s">
        <v>636</v>
      </c>
      <c r="E35" t="s">
        <v>645</v>
      </c>
      <c r="F35" t="s">
        <v>1837</v>
      </c>
      <c r="G35" t="s">
        <v>20</v>
      </c>
    </row>
    <row r="36" spans="1:7" x14ac:dyDescent="0.25">
      <c r="A36">
        <v>778</v>
      </c>
      <c r="B36">
        <v>2022</v>
      </c>
      <c r="C36" t="s">
        <v>548</v>
      </c>
      <c r="D36" t="s">
        <v>636</v>
      </c>
      <c r="E36" t="s">
        <v>628</v>
      </c>
      <c r="F36" t="s">
        <v>1837</v>
      </c>
      <c r="G36" t="s">
        <v>20</v>
      </c>
    </row>
    <row r="37" spans="1:7" x14ac:dyDescent="0.25">
      <c r="A37">
        <v>782</v>
      </c>
      <c r="B37">
        <v>2022</v>
      </c>
      <c r="C37" t="s">
        <v>548</v>
      </c>
      <c r="D37" t="s">
        <v>636</v>
      </c>
      <c r="E37" t="s">
        <v>632</v>
      </c>
      <c r="F37" t="s">
        <v>59</v>
      </c>
      <c r="G37" t="s">
        <v>293</v>
      </c>
    </row>
    <row r="38" spans="1:7" x14ac:dyDescent="0.25">
      <c r="A38">
        <v>777</v>
      </c>
      <c r="B38">
        <v>2022</v>
      </c>
      <c r="C38" t="s">
        <v>548</v>
      </c>
      <c r="D38" t="s">
        <v>636</v>
      </c>
      <c r="E38" t="s">
        <v>624</v>
      </c>
      <c r="F38" t="s">
        <v>9</v>
      </c>
      <c r="G38" t="s">
        <v>10</v>
      </c>
    </row>
    <row r="39" spans="1:7" x14ac:dyDescent="0.25">
      <c r="A39">
        <v>787</v>
      </c>
      <c r="B39">
        <v>2022</v>
      </c>
      <c r="C39" t="s">
        <v>548</v>
      </c>
      <c r="D39" t="s">
        <v>636</v>
      </c>
      <c r="E39" t="s">
        <v>642</v>
      </c>
      <c r="F39" t="s">
        <v>1837</v>
      </c>
      <c r="G39" t="s">
        <v>52</v>
      </c>
    </row>
    <row r="40" spans="1:7" x14ac:dyDescent="0.25">
      <c r="A40">
        <v>779</v>
      </c>
      <c r="B40">
        <v>2022</v>
      </c>
      <c r="C40" t="s">
        <v>548</v>
      </c>
      <c r="D40" t="s">
        <v>636</v>
      </c>
      <c r="E40" t="s">
        <v>629</v>
      </c>
      <c r="F40" t="s">
        <v>1837</v>
      </c>
      <c r="G40" t="s">
        <v>52</v>
      </c>
    </row>
    <row r="41" spans="1:7" x14ac:dyDescent="0.25">
      <c r="A41">
        <v>780</v>
      </c>
      <c r="B41">
        <v>2022</v>
      </c>
      <c r="C41" t="s">
        <v>548</v>
      </c>
      <c r="D41" t="s">
        <v>636</v>
      </c>
      <c r="E41" t="s">
        <v>2001</v>
      </c>
      <c r="F41" t="s">
        <v>11</v>
      </c>
      <c r="G41" t="s">
        <v>1639</v>
      </c>
    </row>
    <row r="42" spans="1:7" x14ac:dyDescent="0.25">
      <c r="A42">
        <v>786</v>
      </c>
      <c r="B42">
        <v>2022</v>
      </c>
      <c r="C42" t="s">
        <v>548</v>
      </c>
      <c r="D42" t="s">
        <v>636</v>
      </c>
      <c r="E42" t="s">
        <v>641</v>
      </c>
      <c r="F42" t="s">
        <v>9</v>
      </c>
      <c r="G42" t="s">
        <v>26</v>
      </c>
    </row>
    <row r="43" spans="1:7" x14ac:dyDescent="0.25">
      <c r="A43">
        <v>789</v>
      </c>
      <c r="B43">
        <v>2022</v>
      </c>
      <c r="C43" t="s">
        <v>548</v>
      </c>
      <c r="D43" t="s">
        <v>636</v>
      </c>
      <c r="E43" t="s">
        <v>644</v>
      </c>
      <c r="F43" t="s">
        <v>1837</v>
      </c>
      <c r="G43" t="s">
        <v>71</v>
      </c>
    </row>
    <row r="44" spans="1:7" x14ac:dyDescent="0.25">
      <c r="A44">
        <v>791</v>
      </c>
      <c r="B44">
        <v>2022</v>
      </c>
      <c r="C44" t="s">
        <v>548</v>
      </c>
      <c r="D44" t="s">
        <v>636</v>
      </c>
      <c r="E44" t="s">
        <v>646</v>
      </c>
      <c r="F44" t="s">
        <v>16</v>
      </c>
      <c r="G44" t="s">
        <v>144</v>
      </c>
    </row>
    <row r="45" spans="1:7" x14ac:dyDescent="0.25">
      <c r="A45">
        <v>788</v>
      </c>
      <c r="B45">
        <v>2022</v>
      </c>
      <c r="C45" t="s">
        <v>548</v>
      </c>
      <c r="D45" t="s">
        <v>636</v>
      </c>
      <c r="E45" t="s">
        <v>643</v>
      </c>
      <c r="F45" t="s">
        <v>1837</v>
      </c>
      <c r="G45" t="s">
        <v>70</v>
      </c>
    </row>
    <row r="46" spans="1:7" x14ac:dyDescent="0.25">
      <c r="A46">
        <v>792</v>
      </c>
      <c r="B46">
        <v>2022</v>
      </c>
      <c r="C46" t="s">
        <v>548</v>
      </c>
      <c r="D46" t="s">
        <v>636</v>
      </c>
      <c r="E46" t="s">
        <v>647</v>
      </c>
      <c r="F46" t="s">
        <v>11</v>
      </c>
      <c r="G46" t="s">
        <v>58</v>
      </c>
    </row>
    <row r="47" spans="1:7" x14ac:dyDescent="0.25">
      <c r="A47">
        <v>783</v>
      </c>
      <c r="B47">
        <v>2022</v>
      </c>
      <c r="C47" t="s">
        <v>548</v>
      </c>
      <c r="D47" t="s">
        <v>636</v>
      </c>
      <c r="E47" t="s">
        <v>639</v>
      </c>
      <c r="F47" t="s">
        <v>1837</v>
      </c>
      <c r="G47" t="s">
        <v>107</v>
      </c>
    </row>
    <row r="48" spans="1:7" x14ac:dyDescent="0.25">
      <c r="A48">
        <v>785</v>
      </c>
      <c r="B48">
        <v>2022</v>
      </c>
      <c r="C48" t="s">
        <v>548</v>
      </c>
      <c r="D48" t="s">
        <v>636</v>
      </c>
      <c r="E48" t="s">
        <v>640</v>
      </c>
      <c r="F48" t="s">
        <v>9</v>
      </c>
      <c r="G48" t="s">
        <v>15</v>
      </c>
    </row>
    <row r="49" spans="1:7" x14ac:dyDescent="0.25">
      <c r="A49">
        <v>781</v>
      </c>
      <c r="B49">
        <v>2022</v>
      </c>
      <c r="C49" t="s">
        <v>548</v>
      </c>
      <c r="D49" t="s">
        <v>636</v>
      </c>
      <c r="E49" t="s">
        <v>631</v>
      </c>
      <c r="F49" t="s">
        <v>12</v>
      </c>
      <c r="G49" t="s">
        <v>32</v>
      </c>
    </row>
    <row r="50" spans="1:7" x14ac:dyDescent="0.25">
      <c r="A50">
        <v>839</v>
      </c>
      <c r="B50">
        <v>2022</v>
      </c>
      <c r="C50" t="s">
        <v>548</v>
      </c>
      <c r="D50" t="s">
        <v>102</v>
      </c>
      <c r="E50" t="s">
        <v>686</v>
      </c>
      <c r="F50" t="s">
        <v>59</v>
      </c>
      <c r="G50" t="s">
        <v>293</v>
      </c>
    </row>
    <row r="51" spans="1:7" x14ac:dyDescent="0.25">
      <c r="A51">
        <v>830</v>
      </c>
      <c r="B51">
        <v>2022</v>
      </c>
      <c r="C51" t="s">
        <v>548</v>
      </c>
      <c r="D51" t="s">
        <v>102</v>
      </c>
      <c r="E51" t="s">
        <v>679</v>
      </c>
      <c r="F51" t="s">
        <v>11</v>
      </c>
      <c r="G51" t="s">
        <v>10</v>
      </c>
    </row>
    <row r="52" spans="1:7" x14ac:dyDescent="0.25">
      <c r="A52">
        <v>823</v>
      </c>
      <c r="B52">
        <v>2022</v>
      </c>
      <c r="C52" t="s">
        <v>548</v>
      </c>
      <c r="D52" t="s">
        <v>102</v>
      </c>
      <c r="E52" t="s">
        <v>666</v>
      </c>
      <c r="F52" t="s">
        <v>11</v>
      </c>
      <c r="G52" t="s">
        <v>10</v>
      </c>
    </row>
    <row r="53" spans="1:7" x14ac:dyDescent="0.25">
      <c r="A53">
        <v>836</v>
      </c>
      <c r="B53">
        <v>2022</v>
      </c>
      <c r="C53" t="s">
        <v>548</v>
      </c>
      <c r="D53" t="s">
        <v>102</v>
      </c>
      <c r="E53" t="s">
        <v>684</v>
      </c>
      <c r="F53" t="s">
        <v>9</v>
      </c>
      <c r="G53" t="s">
        <v>10</v>
      </c>
    </row>
    <row r="54" spans="1:7" x14ac:dyDescent="0.25">
      <c r="A54">
        <v>829</v>
      </c>
      <c r="B54">
        <v>2022</v>
      </c>
      <c r="C54" t="s">
        <v>548</v>
      </c>
      <c r="D54" t="s">
        <v>102</v>
      </c>
      <c r="E54" t="s">
        <v>678</v>
      </c>
      <c r="F54" t="s">
        <v>9</v>
      </c>
      <c r="G54" t="s">
        <v>10</v>
      </c>
    </row>
    <row r="55" spans="1:7" x14ac:dyDescent="0.25">
      <c r="A55">
        <v>840</v>
      </c>
      <c r="B55">
        <v>2022</v>
      </c>
      <c r="C55" t="s">
        <v>548</v>
      </c>
      <c r="D55" t="s">
        <v>102</v>
      </c>
      <c r="E55" t="s">
        <v>687</v>
      </c>
      <c r="F55" t="s">
        <v>1837</v>
      </c>
      <c r="G55" t="s">
        <v>138</v>
      </c>
    </row>
    <row r="56" spans="1:7" x14ac:dyDescent="0.25">
      <c r="A56">
        <v>827</v>
      </c>
      <c r="B56">
        <v>2022</v>
      </c>
      <c r="C56" t="s">
        <v>548</v>
      </c>
      <c r="D56" t="s">
        <v>102</v>
      </c>
      <c r="E56" t="s">
        <v>676</v>
      </c>
      <c r="F56" t="s">
        <v>1837</v>
      </c>
      <c r="G56" t="s">
        <v>138</v>
      </c>
    </row>
    <row r="57" spans="1:7" x14ac:dyDescent="0.25">
      <c r="A57">
        <v>848</v>
      </c>
      <c r="B57">
        <v>2022</v>
      </c>
      <c r="C57" t="s">
        <v>548</v>
      </c>
      <c r="D57" t="s">
        <v>102</v>
      </c>
      <c r="E57" t="s">
        <v>695</v>
      </c>
      <c r="F57" t="s">
        <v>1837</v>
      </c>
      <c r="G57" t="s">
        <v>71</v>
      </c>
    </row>
    <row r="58" spans="1:7" x14ac:dyDescent="0.25">
      <c r="A58">
        <v>847</v>
      </c>
      <c r="B58">
        <v>2022</v>
      </c>
      <c r="C58" t="s">
        <v>548</v>
      </c>
      <c r="D58" t="s">
        <v>102</v>
      </c>
      <c r="E58" t="s">
        <v>694</v>
      </c>
      <c r="F58" t="s">
        <v>1837</v>
      </c>
      <c r="G58" t="s">
        <v>71</v>
      </c>
    </row>
    <row r="59" spans="1:7" x14ac:dyDescent="0.25">
      <c r="A59">
        <v>841</v>
      </c>
      <c r="B59">
        <v>2022</v>
      </c>
      <c r="C59" t="s">
        <v>548</v>
      </c>
      <c r="D59" t="s">
        <v>102</v>
      </c>
      <c r="E59" t="s">
        <v>688</v>
      </c>
      <c r="F59" t="s">
        <v>16</v>
      </c>
      <c r="G59" t="s">
        <v>144</v>
      </c>
    </row>
    <row r="60" spans="1:7" x14ac:dyDescent="0.25">
      <c r="A60">
        <v>843</v>
      </c>
      <c r="B60">
        <v>2022</v>
      </c>
      <c r="C60" t="s">
        <v>548</v>
      </c>
      <c r="D60" t="s">
        <v>102</v>
      </c>
      <c r="E60" t="s">
        <v>690</v>
      </c>
      <c r="F60" t="s">
        <v>42</v>
      </c>
      <c r="G60" t="s">
        <v>143</v>
      </c>
    </row>
    <row r="61" spans="1:7" x14ac:dyDescent="0.25">
      <c r="A61">
        <v>831</v>
      </c>
      <c r="B61">
        <v>2022</v>
      </c>
      <c r="C61" t="s">
        <v>548</v>
      </c>
      <c r="D61" t="s">
        <v>102</v>
      </c>
      <c r="E61" t="s">
        <v>680</v>
      </c>
      <c r="F61" t="s">
        <v>42</v>
      </c>
      <c r="G61" t="s">
        <v>143</v>
      </c>
    </row>
    <row r="62" spans="1:7" x14ac:dyDescent="0.25">
      <c r="A62">
        <v>820</v>
      </c>
      <c r="B62">
        <v>2022</v>
      </c>
      <c r="C62" t="s">
        <v>548</v>
      </c>
      <c r="D62" t="s">
        <v>102</v>
      </c>
      <c r="E62" t="s">
        <v>648</v>
      </c>
      <c r="F62" t="s">
        <v>1837</v>
      </c>
      <c r="G62" t="s">
        <v>70</v>
      </c>
    </row>
    <row r="63" spans="1:7" x14ac:dyDescent="0.25">
      <c r="A63">
        <v>842</v>
      </c>
      <c r="B63">
        <v>2022</v>
      </c>
      <c r="C63" t="s">
        <v>548</v>
      </c>
      <c r="D63" t="s">
        <v>102</v>
      </c>
      <c r="E63" t="s">
        <v>689</v>
      </c>
      <c r="F63" t="s">
        <v>11</v>
      </c>
      <c r="G63" t="s">
        <v>58</v>
      </c>
    </row>
    <row r="64" spans="1:7" x14ac:dyDescent="0.25">
      <c r="A64">
        <v>846</v>
      </c>
      <c r="B64">
        <v>2022</v>
      </c>
      <c r="C64" t="s">
        <v>548</v>
      </c>
      <c r="D64" t="s">
        <v>102</v>
      </c>
      <c r="E64" t="s">
        <v>693</v>
      </c>
      <c r="F64" t="s">
        <v>11</v>
      </c>
      <c r="G64" t="s">
        <v>142</v>
      </c>
    </row>
    <row r="65" spans="1:7" x14ac:dyDescent="0.25">
      <c r="A65">
        <v>844</v>
      </c>
      <c r="B65">
        <v>2022</v>
      </c>
      <c r="C65" t="s">
        <v>548</v>
      </c>
      <c r="D65" t="s">
        <v>102</v>
      </c>
      <c r="E65" t="s">
        <v>691</v>
      </c>
      <c r="F65" t="s">
        <v>11</v>
      </c>
      <c r="G65" t="s">
        <v>142</v>
      </c>
    </row>
    <row r="66" spans="1:7" x14ac:dyDescent="0.25">
      <c r="A66">
        <v>835</v>
      </c>
      <c r="B66">
        <v>2022</v>
      </c>
      <c r="C66" t="s">
        <v>548</v>
      </c>
      <c r="D66" t="s">
        <v>102</v>
      </c>
      <c r="E66" t="s">
        <v>683</v>
      </c>
      <c r="F66" t="s">
        <v>11</v>
      </c>
      <c r="G66" t="s">
        <v>142</v>
      </c>
    </row>
    <row r="67" spans="1:7" x14ac:dyDescent="0.25">
      <c r="A67">
        <v>833</v>
      </c>
      <c r="B67">
        <v>2022</v>
      </c>
      <c r="C67" t="s">
        <v>548</v>
      </c>
      <c r="D67" t="s">
        <v>102</v>
      </c>
      <c r="E67" t="s">
        <v>682</v>
      </c>
      <c r="F67" t="s">
        <v>11</v>
      </c>
      <c r="G67" t="s">
        <v>142</v>
      </c>
    </row>
    <row r="68" spans="1:7" x14ac:dyDescent="0.25">
      <c r="A68">
        <v>832</v>
      </c>
      <c r="B68">
        <v>2022</v>
      </c>
      <c r="C68" t="s">
        <v>548</v>
      </c>
      <c r="D68" t="s">
        <v>102</v>
      </c>
      <c r="E68" t="s">
        <v>681</v>
      </c>
      <c r="F68" t="s">
        <v>11</v>
      </c>
      <c r="G68" t="s">
        <v>142</v>
      </c>
    </row>
    <row r="69" spans="1:7" x14ac:dyDescent="0.25">
      <c r="A69">
        <v>822</v>
      </c>
      <c r="B69">
        <v>2022</v>
      </c>
      <c r="C69" t="s">
        <v>548</v>
      </c>
      <c r="D69" t="s">
        <v>102</v>
      </c>
      <c r="E69" t="s">
        <v>665</v>
      </c>
      <c r="F69" t="s">
        <v>11</v>
      </c>
      <c r="G69" t="s">
        <v>172</v>
      </c>
    </row>
    <row r="70" spans="1:7" x14ac:dyDescent="0.25">
      <c r="A70">
        <v>845</v>
      </c>
      <c r="B70">
        <v>2022</v>
      </c>
      <c r="C70" t="s">
        <v>548</v>
      </c>
      <c r="D70" t="s">
        <v>102</v>
      </c>
      <c r="E70" t="s">
        <v>692</v>
      </c>
      <c r="F70" t="s">
        <v>9</v>
      </c>
      <c r="G70" t="s">
        <v>15</v>
      </c>
    </row>
    <row r="71" spans="1:7" x14ac:dyDescent="0.25">
      <c r="A71">
        <v>838</v>
      </c>
      <c r="B71">
        <v>2022</v>
      </c>
      <c r="C71" t="s">
        <v>548</v>
      </c>
      <c r="D71" t="s">
        <v>102</v>
      </c>
      <c r="E71" t="s">
        <v>685</v>
      </c>
      <c r="F71" t="s">
        <v>9</v>
      </c>
      <c r="G71" t="s">
        <v>15</v>
      </c>
    </row>
    <row r="72" spans="1:7" x14ac:dyDescent="0.25">
      <c r="A72">
        <v>826</v>
      </c>
      <c r="B72">
        <v>2022</v>
      </c>
      <c r="C72" t="s">
        <v>548</v>
      </c>
      <c r="D72" t="s">
        <v>102</v>
      </c>
      <c r="E72" t="s">
        <v>675</v>
      </c>
      <c r="F72" t="s">
        <v>12</v>
      </c>
      <c r="G72" t="s">
        <v>32</v>
      </c>
    </row>
    <row r="73" spans="1:7" x14ac:dyDescent="0.25">
      <c r="A73">
        <v>825</v>
      </c>
      <c r="B73">
        <v>2022</v>
      </c>
      <c r="C73" t="s">
        <v>548</v>
      </c>
      <c r="D73" t="s">
        <v>102</v>
      </c>
      <c r="E73" t="s">
        <v>674</v>
      </c>
      <c r="F73" t="s">
        <v>12</v>
      </c>
      <c r="G73" t="s">
        <v>32</v>
      </c>
    </row>
    <row r="74" spans="1:7" x14ac:dyDescent="0.25">
      <c r="A74">
        <v>821</v>
      </c>
      <c r="B74">
        <v>2022</v>
      </c>
      <c r="C74" t="s">
        <v>548</v>
      </c>
      <c r="D74" t="s">
        <v>102</v>
      </c>
      <c r="E74" t="s">
        <v>657</v>
      </c>
      <c r="F74" t="s">
        <v>12</v>
      </c>
      <c r="G74" t="s">
        <v>32</v>
      </c>
    </row>
    <row r="75" spans="1:7" x14ac:dyDescent="0.25">
      <c r="A75">
        <v>828</v>
      </c>
      <c r="B75">
        <v>2022</v>
      </c>
      <c r="C75" t="s">
        <v>548</v>
      </c>
      <c r="D75" t="s">
        <v>102</v>
      </c>
      <c r="E75" t="s">
        <v>677</v>
      </c>
      <c r="F75" t="s">
        <v>16</v>
      </c>
      <c r="G75" t="s">
        <v>106</v>
      </c>
    </row>
    <row r="76" spans="1:7" x14ac:dyDescent="0.25">
      <c r="A76">
        <v>880</v>
      </c>
      <c r="B76">
        <v>2022</v>
      </c>
      <c r="C76" t="s">
        <v>548</v>
      </c>
      <c r="D76" t="s">
        <v>139</v>
      </c>
      <c r="E76" t="s">
        <v>699</v>
      </c>
      <c r="F76" t="s">
        <v>59</v>
      </c>
      <c r="G76" t="s">
        <v>293</v>
      </c>
    </row>
    <row r="77" spans="1:7" x14ac:dyDescent="0.25">
      <c r="A77">
        <v>870</v>
      </c>
      <c r="B77">
        <v>2022</v>
      </c>
      <c r="C77" t="s">
        <v>548</v>
      </c>
      <c r="D77" t="s">
        <v>139</v>
      </c>
      <c r="E77" t="s">
        <v>707</v>
      </c>
      <c r="F77" t="s">
        <v>9</v>
      </c>
      <c r="G77" t="s">
        <v>10</v>
      </c>
    </row>
    <row r="78" spans="1:7" x14ac:dyDescent="0.25">
      <c r="A78">
        <v>887</v>
      </c>
      <c r="B78">
        <v>2022</v>
      </c>
      <c r="C78" t="s">
        <v>548</v>
      </c>
      <c r="D78" t="s">
        <v>139</v>
      </c>
      <c r="E78" t="s">
        <v>706</v>
      </c>
      <c r="F78" t="s">
        <v>1837</v>
      </c>
      <c r="G78" t="s">
        <v>52</v>
      </c>
    </row>
    <row r="79" spans="1:7" x14ac:dyDescent="0.25">
      <c r="A79">
        <v>885</v>
      </c>
      <c r="B79">
        <v>2022</v>
      </c>
      <c r="C79" t="s">
        <v>548</v>
      </c>
      <c r="D79" t="s">
        <v>139</v>
      </c>
      <c r="E79" t="s">
        <v>718</v>
      </c>
      <c r="F79" t="s">
        <v>1837</v>
      </c>
      <c r="G79" t="s">
        <v>52</v>
      </c>
    </row>
    <row r="80" spans="1:7" x14ac:dyDescent="0.25">
      <c r="A80">
        <v>884</v>
      </c>
      <c r="B80">
        <v>2022</v>
      </c>
      <c r="C80" t="s">
        <v>548</v>
      </c>
      <c r="D80" t="s">
        <v>139</v>
      </c>
      <c r="E80" t="s">
        <v>703</v>
      </c>
      <c r="F80" t="s">
        <v>1837</v>
      </c>
      <c r="G80" t="s">
        <v>52</v>
      </c>
    </row>
    <row r="81" spans="1:7" x14ac:dyDescent="0.25">
      <c r="A81">
        <v>873</v>
      </c>
      <c r="B81">
        <v>2022</v>
      </c>
      <c r="C81" t="s">
        <v>548</v>
      </c>
      <c r="D81" t="s">
        <v>139</v>
      </c>
      <c r="E81" t="s">
        <v>711</v>
      </c>
      <c r="F81" t="s">
        <v>12</v>
      </c>
      <c r="G81" t="s">
        <v>714</v>
      </c>
    </row>
    <row r="82" spans="1:7" x14ac:dyDescent="0.25">
      <c r="A82">
        <v>883</v>
      </c>
      <c r="B82">
        <v>2022</v>
      </c>
      <c r="C82" t="s">
        <v>548</v>
      </c>
      <c r="D82" t="s">
        <v>139</v>
      </c>
      <c r="E82" t="s">
        <v>702</v>
      </c>
      <c r="F82" t="s">
        <v>16</v>
      </c>
      <c r="G82" t="s">
        <v>144</v>
      </c>
    </row>
    <row r="83" spans="1:7" x14ac:dyDescent="0.25">
      <c r="A83">
        <v>881</v>
      </c>
      <c r="B83">
        <v>2022</v>
      </c>
      <c r="C83" t="s">
        <v>548</v>
      </c>
      <c r="D83" t="s">
        <v>139</v>
      </c>
      <c r="E83" t="s">
        <v>700</v>
      </c>
      <c r="F83" t="s">
        <v>1837</v>
      </c>
      <c r="G83" t="s">
        <v>56</v>
      </c>
    </row>
    <row r="84" spans="1:7" x14ac:dyDescent="0.25">
      <c r="A84">
        <v>869</v>
      </c>
      <c r="B84">
        <v>2022</v>
      </c>
      <c r="C84" t="s">
        <v>548</v>
      </c>
      <c r="D84" t="s">
        <v>139</v>
      </c>
      <c r="E84" t="s">
        <v>696</v>
      </c>
      <c r="F84" t="s">
        <v>12</v>
      </c>
      <c r="G84" t="s">
        <v>13</v>
      </c>
    </row>
    <row r="85" spans="1:7" x14ac:dyDescent="0.25">
      <c r="A85">
        <v>875</v>
      </c>
      <c r="B85">
        <v>2022</v>
      </c>
      <c r="C85" t="s">
        <v>548</v>
      </c>
      <c r="D85" t="s">
        <v>139</v>
      </c>
      <c r="E85" t="s">
        <v>713</v>
      </c>
      <c r="F85" t="s">
        <v>1837</v>
      </c>
      <c r="G85" t="s">
        <v>70</v>
      </c>
    </row>
    <row r="86" spans="1:7" x14ac:dyDescent="0.25">
      <c r="A86">
        <v>876</v>
      </c>
      <c r="B86">
        <v>2022</v>
      </c>
      <c r="C86" t="s">
        <v>548</v>
      </c>
      <c r="D86" t="s">
        <v>139</v>
      </c>
      <c r="E86" t="s">
        <v>717</v>
      </c>
      <c r="F86" t="s">
        <v>16</v>
      </c>
      <c r="G86" t="s">
        <v>103</v>
      </c>
    </row>
    <row r="87" spans="1:7" x14ac:dyDescent="0.25">
      <c r="A87">
        <v>879</v>
      </c>
      <c r="B87">
        <v>2022</v>
      </c>
      <c r="C87" t="s">
        <v>548</v>
      </c>
      <c r="D87" t="s">
        <v>139</v>
      </c>
      <c r="E87" t="s">
        <v>698</v>
      </c>
      <c r="F87" t="s">
        <v>9</v>
      </c>
      <c r="G87" t="s">
        <v>15</v>
      </c>
    </row>
    <row r="88" spans="1:7" x14ac:dyDescent="0.25">
      <c r="A88">
        <v>886</v>
      </c>
      <c r="B88">
        <v>2022</v>
      </c>
      <c r="C88" t="s">
        <v>548</v>
      </c>
      <c r="D88" t="s">
        <v>139</v>
      </c>
      <c r="E88" t="s">
        <v>705</v>
      </c>
      <c r="F88" t="s">
        <v>12</v>
      </c>
      <c r="G88" t="s">
        <v>32</v>
      </c>
    </row>
    <row r="89" spans="1:7" x14ac:dyDescent="0.25">
      <c r="A89">
        <v>877</v>
      </c>
      <c r="B89">
        <v>2022</v>
      </c>
      <c r="C89" t="s">
        <v>548</v>
      </c>
      <c r="D89" t="s">
        <v>139</v>
      </c>
      <c r="E89" t="s">
        <v>716</v>
      </c>
      <c r="F89" t="s">
        <v>12</v>
      </c>
      <c r="G89" t="s">
        <v>32</v>
      </c>
    </row>
    <row r="90" spans="1:7" x14ac:dyDescent="0.25">
      <c r="A90">
        <v>874</v>
      </c>
      <c r="B90">
        <v>2022</v>
      </c>
      <c r="C90" t="s">
        <v>548</v>
      </c>
      <c r="D90" t="s">
        <v>139</v>
      </c>
      <c r="E90" t="s">
        <v>712</v>
      </c>
      <c r="F90" t="s">
        <v>12</v>
      </c>
      <c r="G90" t="s">
        <v>32</v>
      </c>
    </row>
    <row r="91" spans="1:7" x14ac:dyDescent="0.25">
      <c r="A91">
        <v>872</v>
      </c>
      <c r="B91">
        <v>2022</v>
      </c>
      <c r="C91" t="s">
        <v>548</v>
      </c>
      <c r="D91" t="s">
        <v>139</v>
      </c>
      <c r="E91" t="s">
        <v>710</v>
      </c>
      <c r="F91" t="s">
        <v>12</v>
      </c>
      <c r="G91" t="s">
        <v>32</v>
      </c>
    </row>
    <row r="92" spans="1:7" x14ac:dyDescent="0.25">
      <c r="A92">
        <v>871</v>
      </c>
      <c r="B92">
        <v>2022</v>
      </c>
      <c r="C92" t="s">
        <v>548</v>
      </c>
      <c r="D92" t="s">
        <v>139</v>
      </c>
      <c r="E92" t="s">
        <v>709</v>
      </c>
      <c r="F92" t="s">
        <v>12</v>
      </c>
      <c r="G92" t="s">
        <v>32</v>
      </c>
    </row>
    <row r="93" spans="1:7" x14ac:dyDescent="0.25">
      <c r="A93">
        <v>888</v>
      </c>
      <c r="B93">
        <v>2022</v>
      </c>
      <c r="C93" t="s">
        <v>548</v>
      </c>
      <c r="D93" t="s">
        <v>139</v>
      </c>
      <c r="E93" t="s">
        <v>719</v>
      </c>
      <c r="F93" t="s">
        <v>9</v>
      </c>
      <c r="G93" t="s">
        <v>33</v>
      </c>
    </row>
    <row r="94" spans="1:7" x14ac:dyDescent="0.25">
      <c r="A94">
        <v>882</v>
      </c>
      <c r="B94">
        <v>2022</v>
      </c>
      <c r="C94" t="s">
        <v>548</v>
      </c>
      <c r="D94" t="s">
        <v>139</v>
      </c>
      <c r="E94" t="s">
        <v>701</v>
      </c>
      <c r="F94" t="s">
        <v>1837</v>
      </c>
      <c r="G94" t="s">
        <v>22</v>
      </c>
    </row>
    <row r="95" spans="1:7" x14ac:dyDescent="0.25">
      <c r="A95">
        <v>878</v>
      </c>
      <c r="B95">
        <v>2022</v>
      </c>
      <c r="C95" t="s">
        <v>548</v>
      </c>
      <c r="D95" t="s">
        <v>139</v>
      </c>
      <c r="E95" t="s">
        <v>697</v>
      </c>
      <c r="F95" t="s">
        <v>9</v>
      </c>
      <c r="G95" t="s">
        <v>18</v>
      </c>
    </row>
    <row r="96" spans="1:7" x14ac:dyDescent="0.25">
      <c r="A96">
        <v>915</v>
      </c>
      <c r="B96">
        <v>2022</v>
      </c>
      <c r="C96" t="s">
        <v>548</v>
      </c>
      <c r="D96" t="s">
        <v>191</v>
      </c>
      <c r="E96" t="s">
        <v>728</v>
      </c>
      <c r="F96" t="s">
        <v>9</v>
      </c>
      <c r="G96" t="s">
        <v>293</v>
      </c>
    </row>
    <row r="97" spans="1:7" x14ac:dyDescent="0.25">
      <c r="A97">
        <v>906</v>
      </c>
      <c r="B97">
        <v>2022</v>
      </c>
      <c r="C97" t="s">
        <v>548</v>
      </c>
      <c r="D97" t="s">
        <v>191</v>
      </c>
      <c r="E97" t="s">
        <v>722</v>
      </c>
      <c r="F97" t="s">
        <v>9</v>
      </c>
      <c r="G97" t="s">
        <v>10</v>
      </c>
    </row>
    <row r="98" spans="1:7" x14ac:dyDescent="0.25">
      <c r="A98">
        <v>904</v>
      </c>
      <c r="B98">
        <v>2022</v>
      </c>
      <c r="C98" t="s">
        <v>548</v>
      </c>
      <c r="D98" t="s">
        <v>191</v>
      </c>
      <c r="E98" t="s">
        <v>720</v>
      </c>
      <c r="F98" t="s">
        <v>9</v>
      </c>
      <c r="G98" t="s">
        <v>10</v>
      </c>
    </row>
    <row r="99" spans="1:7" x14ac:dyDescent="0.25">
      <c r="A99">
        <v>918</v>
      </c>
      <c r="B99">
        <v>2022</v>
      </c>
      <c r="C99" t="s">
        <v>548</v>
      </c>
      <c r="D99" t="s">
        <v>191</v>
      </c>
      <c r="E99" t="s">
        <v>731</v>
      </c>
      <c r="F99" t="s">
        <v>1837</v>
      </c>
      <c r="G99" t="s">
        <v>52</v>
      </c>
    </row>
    <row r="100" spans="1:7" x14ac:dyDescent="0.25">
      <c r="A100">
        <v>912</v>
      </c>
      <c r="B100">
        <v>2022</v>
      </c>
      <c r="C100" t="s">
        <v>548</v>
      </c>
      <c r="D100" t="s">
        <v>191</v>
      </c>
      <c r="E100" t="s">
        <v>561</v>
      </c>
      <c r="F100" t="s">
        <v>1837</v>
      </c>
      <c r="G100" t="s">
        <v>52</v>
      </c>
    </row>
    <row r="101" spans="1:7" x14ac:dyDescent="0.25">
      <c r="A101">
        <v>909</v>
      </c>
      <c r="B101">
        <v>2022</v>
      </c>
      <c r="C101" t="s">
        <v>548</v>
      </c>
      <c r="D101" t="s">
        <v>191</v>
      </c>
      <c r="E101" t="s">
        <v>725</v>
      </c>
      <c r="F101" t="s">
        <v>9</v>
      </c>
      <c r="G101" t="s">
        <v>173</v>
      </c>
    </row>
    <row r="102" spans="1:7" x14ac:dyDescent="0.25">
      <c r="A102">
        <v>907</v>
      </c>
      <c r="B102">
        <v>2022</v>
      </c>
      <c r="C102" t="s">
        <v>548</v>
      </c>
      <c r="D102" t="s">
        <v>191</v>
      </c>
      <c r="E102" t="s">
        <v>723</v>
      </c>
      <c r="F102" t="s">
        <v>1837</v>
      </c>
      <c r="G102" t="s">
        <v>138</v>
      </c>
    </row>
    <row r="103" spans="1:7" x14ac:dyDescent="0.25">
      <c r="A103">
        <v>914</v>
      </c>
      <c r="B103">
        <v>2022</v>
      </c>
      <c r="C103" t="s">
        <v>548</v>
      </c>
      <c r="D103" t="s">
        <v>191</v>
      </c>
      <c r="E103" t="s">
        <v>733</v>
      </c>
      <c r="F103" t="s">
        <v>16</v>
      </c>
      <c r="G103" t="s">
        <v>144</v>
      </c>
    </row>
    <row r="104" spans="1:7" x14ac:dyDescent="0.25">
      <c r="A104">
        <v>917</v>
      </c>
      <c r="B104">
        <v>2022</v>
      </c>
      <c r="C104" t="s">
        <v>548</v>
      </c>
      <c r="D104" t="s">
        <v>191</v>
      </c>
      <c r="E104" t="s">
        <v>730</v>
      </c>
      <c r="F104" t="s">
        <v>1837</v>
      </c>
      <c r="G104" t="s">
        <v>70</v>
      </c>
    </row>
    <row r="105" spans="1:7" x14ac:dyDescent="0.25">
      <c r="A105">
        <v>911</v>
      </c>
      <c r="B105">
        <v>2022</v>
      </c>
      <c r="C105" t="s">
        <v>548</v>
      </c>
      <c r="D105" t="s">
        <v>191</v>
      </c>
      <c r="E105" t="s">
        <v>726</v>
      </c>
      <c r="F105" t="s">
        <v>12</v>
      </c>
      <c r="G105" t="s">
        <v>1573</v>
      </c>
    </row>
    <row r="106" spans="1:7" x14ac:dyDescent="0.25">
      <c r="A106">
        <v>916</v>
      </c>
      <c r="B106">
        <v>2022</v>
      </c>
      <c r="C106" t="s">
        <v>548</v>
      </c>
      <c r="D106" t="s">
        <v>191</v>
      </c>
      <c r="E106" t="s">
        <v>729</v>
      </c>
      <c r="F106" t="s">
        <v>11</v>
      </c>
      <c r="G106" t="s">
        <v>58</v>
      </c>
    </row>
    <row r="107" spans="1:7" x14ac:dyDescent="0.25">
      <c r="A107">
        <v>905</v>
      </c>
      <c r="B107">
        <v>2022</v>
      </c>
      <c r="C107" t="s">
        <v>548</v>
      </c>
      <c r="D107" t="s">
        <v>191</v>
      </c>
      <c r="E107" t="s">
        <v>721</v>
      </c>
      <c r="F107" t="s">
        <v>42</v>
      </c>
      <c r="G107" t="s">
        <v>43</v>
      </c>
    </row>
    <row r="108" spans="1:7" x14ac:dyDescent="0.25">
      <c r="A108">
        <v>910</v>
      </c>
      <c r="B108">
        <v>2022</v>
      </c>
      <c r="C108" t="s">
        <v>548</v>
      </c>
      <c r="D108" t="s">
        <v>191</v>
      </c>
      <c r="E108" t="s">
        <v>560</v>
      </c>
      <c r="F108" t="s">
        <v>9</v>
      </c>
      <c r="G108" t="s">
        <v>15</v>
      </c>
    </row>
    <row r="109" spans="1:7" x14ac:dyDescent="0.25">
      <c r="A109">
        <v>908</v>
      </c>
      <c r="B109">
        <v>2022</v>
      </c>
      <c r="C109" t="s">
        <v>548</v>
      </c>
      <c r="D109" t="s">
        <v>191</v>
      </c>
      <c r="E109" t="s">
        <v>732</v>
      </c>
      <c r="F109" t="s">
        <v>12</v>
      </c>
      <c r="G109" t="s">
        <v>32</v>
      </c>
    </row>
    <row r="110" spans="1:7" x14ac:dyDescent="0.25">
      <c r="A110">
        <v>913</v>
      </c>
      <c r="B110">
        <v>2022</v>
      </c>
      <c r="C110" t="s">
        <v>548</v>
      </c>
      <c r="D110" t="s">
        <v>191</v>
      </c>
      <c r="E110" t="s">
        <v>727</v>
      </c>
      <c r="F110" t="s">
        <v>1837</v>
      </c>
      <c r="G110" t="s">
        <v>487</v>
      </c>
    </row>
    <row r="111" spans="1:7" x14ac:dyDescent="0.25">
      <c r="A111">
        <v>946</v>
      </c>
      <c r="B111">
        <v>2022</v>
      </c>
      <c r="C111" t="s">
        <v>548</v>
      </c>
      <c r="D111" t="s">
        <v>208</v>
      </c>
      <c r="E111" t="s">
        <v>754</v>
      </c>
      <c r="F111" t="s">
        <v>9</v>
      </c>
      <c r="G111" t="s">
        <v>145</v>
      </c>
    </row>
    <row r="112" spans="1:7" x14ac:dyDescent="0.25">
      <c r="A112">
        <v>936</v>
      </c>
      <c r="B112">
        <v>2022</v>
      </c>
      <c r="C112" t="s">
        <v>548</v>
      </c>
      <c r="D112" t="s">
        <v>208</v>
      </c>
      <c r="E112" t="s">
        <v>736</v>
      </c>
      <c r="F112" t="s">
        <v>59</v>
      </c>
      <c r="G112" t="s">
        <v>293</v>
      </c>
    </row>
    <row r="113" spans="1:7" x14ac:dyDescent="0.25">
      <c r="A113">
        <v>940</v>
      </c>
      <c r="B113">
        <v>2022</v>
      </c>
      <c r="C113" t="s">
        <v>548</v>
      </c>
      <c r="D113" t="s">
        <v>208</v>
      </c>
      <c r="E113" t="s">
        <v>750</v>
      </c>
      <c r="F113" t="s">
        <v>9</v>
      </c>
      <c r="G113" t="s">
        <v>10</v>
      </c>
    </row>
    <row r="114" spans="1:7" x14ac:dyDescent="0.25">
      <c r="A114">
        <v>935</v>
      </c>
      <c r="B114">
        <v>2022</v>
      </c>
      <c r="C114" t="s">
        <v>548</v>
      </c>
      <c r="D114" t="s">
        <v>208</v>
      </c>
      <c r="E114" t="s">
        <v>735</v>
      </c>
      <c r="F114" t="s">
        <v>9</v>
      </c>
      <c r="G114" t="s">
        <v>10</v>
      </c>
    </row>
    <row r="115" spans="1:7" x14ac:dyDescent="0.25">
      <c r="A115">
        <v>939</v>
      </c>
      <c r="B115">
        <v>2022</v>
      </c>
      <c r="C115" t="s">
        <v>548</v>
      </c>
      <c r="D115" t="s">
        <v>208</v>
      </c>
      <c r="E115" t="s">
        <v>749</v>
      </c>
      <c r="F115" t="s">
        <v>1837</v>
      </c>
      <c r="G115" t="s">
        <v>52</v>
      </c>
    </row>
    <row r="116" spans="1:7" x14ac:dyDescent="0.25">
      <c r="A116">
        <v>944</v>
      </c>
      <c r="B116">
        <v>2022</v>
      </c>
      <c r="C116" t="s">
        <v>548</v>
      </c>
      <c r="D116" t="s">
        <v>208</v>
      </c>
      <c r="E116" t="s">
        <v>753</v>
      </c>
      <c r="F116" t="s">
        <v>1837</v>
      </c>
      <c r="G116" t="s">
        <v>138</v>
      </c>
    </row>
    <row r="117" spans="1:7" x14ac:dyDescent="0.25">
      <c r="A117">
        <v>937</v>
      </c>
      <c r="B117">
        <v>2022</v>
      </c>
      <c r="C117" t="s">
        <v>548</v>
      </c>
      <c r="D117" t="s">
        <v>208</v>
      </c>
      <c r="E117" t="s">
        <v>737</v>
      </c>
      <c r="F117" t="s">
        <v>1837</v>
      </c>
      <c r="G117" t="s">
        <v>62</v>
      </c>
    </row>
    <row r="118" spans="1:7" x14ac:dyDescent="0.25">
      <c r="A118">
        <v>948</v>
      </c>
      <c r="B118">
        <v>2022</v>
      </c>
      <c r="C118" t="s">
        <v>548</v>
      </c>
      <c r="D118" t="s">
        <v>208</v>
      </c>
      <c r="E118" t="s">
        <v>756</v>
      </c>
      <c r="F118" t="s">
        <v>1837</v>
      </c>
      <c r="G118" t="s">
        <v>71</v>
      </c>
    </row>
    <row r="119" spans="1:7" x14ac:dyDescent="0.25">
      <c r="A119">
        <v>947</v>
      </c>
      <c r="B119">
        <v>2022</v>
      </c>
      <c r="C119" t="s">
        <v>548</v>
      </c>
      <c r="D119" t="s">
        <v>208</v>
      </c>
      <c r="E119" t="s">
        <v>755</v>
      </c>
      <c r="F119" t="s">
        <v>1837</v>
      </c>
      <c r="G119" t="s">
        <v>71</v>
      </c>
    </row>
    <row r="120" spans="1:7" x14ac:dyDescent="0.25">
      <c r="A120">
        <v>941</v>
      </c>
      <c r="B120">
        <v>2022</v>
      </c>
      <c r="C120" t="s">
        <v>548</v>
      </c>
      <c r="D120" t="s">
        <v>208</v>
      </c>
      <c r="E120" t="s">
        <v>751</v>
      </c>
      <c r="F120" t="s">
        <v>11</v>
      </c>
      <c r="G120" t="s">
        <v>45</v>
      </c>
    </row>
    <row r="121" spans="1:7" x14ac:dyDescent="0.25">
      <c r="A121">
        <v>934</v>
      </c>
      <c r="B121">
        <v>2022</v>
      </c>
      <c r="C121" t="s">
        <v>548</v>
      </c>
      <c r="D121" t="s">
        <v>208</v>
      </c>
      <c r="E121" t="s">
        <v>734</v>
      </c>
      <c r="F121" t="s">
        <v>11</v>
      </c>
      <c r="G121" t="s">
        <v>45</v>
      </c>
    </row>
    <row r="122" spans="1:7" x14ac:dyDescent="0.25">
      <c r="A122">
        <v>950</v>
      </c>
      <c r="B122">
        <v>2022</v>
      </c>
      <c r="C122" t="s">
        <v>548</v>
      </c>
      <c r="D122" t="s">
        <v>208</v>
      </c>
      <c r="E122" t="s">
        <v>757</v>
      </c>
      <c r="F122" t="s">
        <v>1837</v>
      </c>
      <c r="G122" t="s">
        <v>68</v>
      </c>
    </row>
    <row r="123" spans="1:7" x14ac:dyDescent="0.25">
      <c r="A123">
        <v>943</v>
      </c>
      <c r="B123">
        <v>2022</v>
      </c>
      <c r="C123" t="s">
        <v>548</v>
      </c>
      <c r="D123" t="s">
        <v>208</v>
      </c>
      <c r="E123" t="s">
        <v>752</v>
      </c>
      <c r="F123" t="s">
        <v>12</v>
      </c>
      <c r="G123" t="s">
        <v>32</v>
      </c>
    </row>
    <row r="124" spans="1:7" x14ac:dyDescent="0.25">
      <c r="A124">
        <v>995</v>
      </c>
      <c r="B124">
        <v>2022</v>
      </c>
      <c r="C124" t="s">
        <v>548</v>
      </c>
      <c r="D124" t="s">
        <v>237</v>
      </c>
      <c r="E124" t="s">
        <v>779</v>
      </c>
      <c r="F124" t="s">
        <v>59</v>
      </c>
      <c r="G124" t="s">
        <v>293</v>
      </c>
    </row>
    <row r="125" spans="1:7" x14ac:dyDescent="0.25">
      <c r="A125">
        <v>974</v>
      </c>
      <c r="B125">
        <v>2022</v>
      </c>
      <c r="C125" t="s">
        <v>548</v>
      </c>
      <c r="D125" t="s">
        <v>237</v>
      </c>
      <c r="E125" t="s">
        <v>758</v>
      </c>
      <c r="F125" t="s">
        <v>11</v>
      </c>
      <c r="G125" t="s">
        <v>10</v>
      </c>
    </row>
    <row r="126" spans="1:7" x14ac:dyDescent="0.25">
      <c r="A126">
        <v>977</v>
      </c>
      <c r="B126">
        <v>2022</v>
      </c>
      <c r="C126" t="s">
        <v>548</v>
      </c>
      <c r="D126" t="s">
        <v>237</v>
      </c>
      <c r="E126" t="s">
        <v>768</v>
      </c>
      <c r="F126" t="s">
        <v>9</v>
      </c>
      <c r="G126" t="s">
        <v>10</v>
      </c>
    </row>
    <row r="127" spans="1:7" x14ac:dyDescent="0.25">
      <c r="A127">
        <v>986</v>
      </c>
      <c r="B127">
        <v>2022</v>
      </c>
      <c r="C127" t="s">
        <v>548</v>
      </c>
      <c r="D127" t="s">
        <v>237</v>
      </c>
      <c r="E127" t="s">
        <v>761</v>
      </c>
      <c r="F127" t="s">
        <v>1837</v>
      </c>
      <c r="G127" t="s">
        <v>52</v>
      </c>
    </row>
    <row r="128" spans="1:7" x14ac:dyDescent="0.25">
      <c r="A128">
        <v>993</v>
      </c>
      <c r="B128">
        <v>2022</v>
      </c>
      <c r="C128" t="s">
        <v>548</v>
      </c>
      <c r="D128" t="s">
        <v>237</v>
      </c>
      <c r="E128" t="s">
        <v>777</v>
      </c>
      <c r="F128" t="s">
        <v>9</v>
      </c>
      <c r="G128" t="s">
        <v>173</v>
      </c>
    </row>
    <row r="129" spans="1:7" x14ac:dyDescent="0.25">
      <c r="A129">
        <v>981</v>
      </c>
      <c r="B129">
        <v>2022</v>
      </c>
      <c r="C129" t="s">
        <v>548</v>
      </c>
      <c r="D129" t="s">
        <v>237</v>
      </c>
      <c r="E129" t="s">
        <v>772</v>
      </c>
      <c r="F129" t="s">
        <v>9</v>
      </c>
      <c r="G129" t="s">
        <v>173</v>
      </c>
    </row>
    <row r="130" spans="1:7" x14ac:dyDescent="0.25">
      <c r="A130">
        <v>994</v>
      </c>
      <c r="B130">
        <v>2022</v>
      </c>
      <c r="C130" t="s">
        <v>548</v>
      </c>
      <c r="D130" t="s">
        <v>237</v>
      </c>
      <c r="E130" t="s">
        <v>778</v>
      </c>
      <c r="F130" t="s">
        <v>1837</v>
      </c>
      <c r="G130" t="s">
        <v>138</v>
      </c>
    </row>
    <row r="131" spans="1:7" x14ac:dyDescent="0.25">
      <c r="A131">
        <v>984</v>
      </c>
      <c r="B131">
        <v>2022</v>
      </c>
      <c r="C131" t="s">
        <v>548</v>
      </c>
      <c r="D131" t="s">
        <v>237</v>
      </c>
      <c r="E131" t="s">
        <v>759</v>
      </c>
      <c r="F131" t="s">
        <v>12</v>
      </c>
      <c r="G131" t="s">
        <v>714</v>
      </c>
    </row>
    <row r="132" spans="1:7" x14ac:dyDescent="0.25">
      <c r="A132">
        <v>988</v>
      </c>
      <c r="B132">
        <v>2022</v>
      </c>
      <c r="C132" t="s">
        <v>548</v>
      </c>
      <c r="D132" t="s">
        <v>237</v>
      </c>
      <c r="E132" t="s">
        <v>763</v>
      </c>
      <c r="F132" t="s">
        <v>16</v>
      </c>
      <c r="G132" t="s">
        <v>144</v>
      </c>
    </row>
    <row r="133" spans="1:7" x14ac:dyDescent="0.25">
      <c r="A133">
        <v>985</v>
      </c>
      <c r="B133">
        <v>2022</v>
      </c>
      <c r="C133" t="s">
        <v>548</v>
      </c>
      <c r="D133" t="s">
        <v>237</v>
      </c>
      <c r="E133" t="s">
        <v>760</v>
      </c>
      <c r="F133" t="s">
        <v>1837</v>
      </c>
      <c r="G133" t="s">
        <v>56</v>
      </c>
    </row>
    <row r="134" spans="1:7" x14ac:dyDescent="0.25">
      <c r="A134">
        <v>992</v>
      </c>
      <c r="B134">
        <v>2022</v>
      </c>
      <c r="C134" t="s">
        <v>548</v>
      </c>
      <c r="D134" t="s">
        <v>237</v>
      </c>
      <c r="E134" t="s">
        <v>776</v>
      </c>
      <c r="F134" t="s">
        <v>12</v>
      </c>
      <c r="G134" t="s">
        <v>13</v>
      </c>
    </row>
    <row r="135" spans="1:7" x14ac:dyDescent="0.25">
      <c r="A135">
        <v>980</v>
      </c>
      <c r="B135">
        <v>2022</v>
      </c>
      <c r="C135" t="s">
        <v>548</v>
      </c>
      <c r="D135" t="s">
        <v>237</v>
      </c>
      <c r="E135" t="s">
        <v>771</v>
      </c>
      <c r="F135" t="s">
        <v>42</v>
      </c>
      <c r="G135" t="s">
        <v>143</v>
      </c>
    </row>
    <row r="136" spans="1:7" x14ac:dyDescent="0.25">
      <c r="A136">
        <v>996</v>
      </c>
      <c r="B136">
        <v>2022</v>
      </c>
      <c r="C136" t="s">
        <v>548</v>
      </c>
      <c r="D136" t="s">
        <v>237</v>
      </c>
      <c r="E136" t="s">
        <v>781</v>
      </c>
      <c r="F136" t="s">
        <v>11</v>
      </c>
      <c r="G136" t="s">
        <v>58</v>
      </c>
    </row>
    <row r="137" spans="1:7" x14ac:dyDescent="0.25">
      <c r="A137">
        <v>989</v>
      </c>
      <c r="B137">
        <v>2022</v>
      </c>
      <c r="C137" t="s">
        <v>548</v>
      </c>
      <c r="D137" t="s">
        <v>237</v>
      </c>
      <c r="E137" t="s">
        <v>764</v>
      </c>
      <c r="F137" t="s">
        <v>11</v>
      </c>
      <c r="G137" t="s">
        <v>142</v>
      </c>
    </row>
    <row r="138" spans="1:7" x14ac:dyDescent="0.25">
      <c r="A138">
        <v>979</v>
      </c>
      <c r="B138">
        <v>2022</v>
      </c>
      <c r="C138" t="s">
        <v>548</v>
      </c>
      <c r="D138" t="s">
        <v>237</v>
      </c>
      <c r="E138" t="s">
        <v>770</v>
      </c>
      <c r="F138" t="s">
        <v>11</v>
      </c>
      <c r="G138" t="s">
        <v>142</v>
      </c>
    </row>
    <row r="139" spans="1:7" x14ac:dyDescent="0.25">
      <c r="A139">
        <v>975</v>
      </c>
      <c r="B139">
        <v>2022</v>
      </c>
      <c r="C139" t="s">
        <v>548</v>
      </c>
      <c r="D139" t="s">
        <v>237</v>
      </c>
      <c r="E139" t="s">
        <v>766</v>
      </c>
      <c r="F139" t="s">
        <v>1837</v>
      </c>
      <c r="G139" t="s">
        <v>107</v>
      </c>
    </row>
    <row r="140" spans="1:7" x14ac:dyDescent="0.25">
      <c r="A140">
        <v>990</v>
      </c>
      <c r="B140">
        <v>2022</v>
      </c>
      <c r="C140" t="s">
        <v>548</v>
      </c>
      <c r="D140" t="s">
        <v>237</v>
      </c>
      <c r="E140" t="s">
        <v>765</v>
      </c>
      <c r="F140" t="s">
        <v>11</v>
      </c>
      <c r="G140" t="s">
        <v>172</v>
      </c>
    </row>
    <row r="141" spans="1:7" x14ac:dyDescent="0.25">
      <c r="A141">
        <v>978</v>
      </c>
      <c r="B141">
        <v>2022</v>
      </c>
      <c r="C141" t="s">
        <v>548</v>
      </c>
      <c r="D141" t="s">
        <v>237</v>
      </c>
      <c r="E141" t="s">
        <v>780</v>
      </c>
      <c r="F141" t="s">
        <v>11</v>
      </c>
      <c r="G141" t="s">
        <v>172</v>
      </c>
    </row>
    <row r="142" spans="1:7" x14ac:dyDescent="0.25">
      <c r="A142">
        <v>976</v>
      </c>
      <c r="B142">
        <v>2022</v>
      </c>
      <c r="C142" t="s">
        <v>548</v>
      </c>
      <c r="D142" t="s">
        <v>237</v>
      </c>
      <c r="E142" t="s">
        <v>767</v>
      </c>
      <c r="F142" t="s">
        <v>11</v>
      </c>
      <c r="G142" t="s">
        <v>172</v>
      </c>
    </row>
    <row r="143" spans="1:7" x14ac:dyDescent="0.25">
      <c r="A143">
        <v>983</v>
      </c>
      <c r="B143">
        <v>2022</v>
      </c>
      <c r="C143" t="s">
        <v>548</v>
      </c>
      <c r="D143" t="s">
        <v>237</v>
      </c>
      <c r="E143" t="s">
        <v>774</v>
      </c>
      <c r="F143" t="s">
        <v>9</v>
      </c>
      <c r="G143" t="s">
        <v>15</v>
      </c>
    </row>
    <row r="144" spans="1:7" x14ac:dyDescent="0.25">
      <c r="A144">
        <v>982</v>
      </c>
      <c r="B144">
        <v>2022</v>
      </c>
      <c r="C144" t="s">
        <v>548</v>
      </c>
      <c r="D144" t="s">
        <v>237</v>
      </c>
      <c r="E144" t="s">
        <v>773</v>
      </c>
      <c r="F144" t="s">
        <v>9</v>
      </c>
      <c r="G144" t="s">
        <v>15</v>
      </c>
    </row>
    <row r="145" spans="1:7" x14ac:dyDescent="0.25">
      <c r="A145">
        <v>991</v>
      </c>
      <c r="B145">
        <v>2022</v>
      </c>
      <c r="C145" t="s">
        <v>548</v>
      </c>
      <c r="D145" t="s">
        <v>237</v>
      </c>
      <c r="E145" t="s">
        <v>775</v>
      </c>
      <c r="F145" t="s">
        <v>16</v>
      </c>
      <c r="G145" t="s">
        <v>17</v>
      </c>
    </row>
    <row r="146" spans="1:7" x14ac:dyDescent="0.25">
      <c r="A146">
        <v>987</v>
      </c>
      <c r="B146">
        <v>2022</v>
      </c>
      <c r="C146" t="s">
        <v>548</v>
      </c>
      <c r="D146" t="s">
        <v>237</v>
      </c>
      <c r="E146" t="s">
        <v>762</v>
      </c>
      <c r="F146" t="s">
        <v>1837</v>
      </c>
      <c r="G146" t="s">
        <v>487</v>
      </c>
    </row>
    <row r="147" spans="1:7" x14ac:dyDescent="0.25">
      <c r="A147">
        <v>1040</v>
      </c>
      <c r="B147">
        <v>2022</v>
      </c>
      <c r="C147" t="s">
        <v>548</v>
      </c>
      <c r="D147" t="s">
        <v>170</v>
      </c>
      <c r="E147" t="s">
        <v>801</v>
      </c>
      <c r="F147" t="s">
        <v>9</v>
      </c>
      <c r="G147" t="s">
        <v>10</v>
      </c>
    </row>
    <row r="148" spans="1:7" x14ac:dyDescent="0.25">
      <c r="A148">
        <v>1045</v>
      </c>
      <c r="B148">
        <v>2022</v>
      </c>
      <c r="C148" t="s">
        <v>548</v>
      </c>
      <c r="D148" t="s">
        <v>170</v>
      </c>
      <c r="E148" t="s">
        <v>806</v>
      </c>
      <c r="F148" t="s">
        <v>9</v>
      </c>
      <c r="G148" t="s">
        <v>173</v>
      </c>
    </row>
    <row r="149" spans="1:7" x14ac:dyDescent="0.25">
      <c r="A149">
        <v>1044</v>
      </c>
      <c r="B149">
        <v>2022</v>
      </c>
      <c r="C149" t="s">
        <v>548</v>
      </c>
      <c r="D149" t="s">
        <v>170</v>
      </c>
      <c r="E149" t="s">
        <v>805</v>
      </c>
      <c r="F149" t="s">
        <v>11</v>
      </c>
      <c r="G149" t="s">
        <v>1639</v>
      </c>
    </row>
    <row r="150" spans="1:7" x14ac:dyDescent="0.25">
      <c r="A150">
        <v>1042</v>
      </c>
      <c r="B150">
        <v>2022</v>
      </c>
      <c r="C150" t="s">
        <v>548</v>
      </c>
      <c r="D150" t="s">
        <v>170</v>
      </c>
      <c r="E150" t="s">
        <v>803</v>
      </c>
      <c r="F150" t="s">
        <v>11</v>
      </c>
      <c r="G150" t="s">
        <v>1639</v>
      </c>
    </row>
    <row r="151" spans="1:7" x14ac:dyDescent="0.25">
      <c r="A151">
        <v>1043</v>
      </c>
      <c r="B151">
        <v>2022</v>
      </c>
      <c r="C151" t="s">
        <v>548</v>
      </c>
      <c r="D151" t="s">
        <v>170</v>
      </c>
      <c r="E151" t="s">
        <v>804</v>
      </c>
      <c r="F151" t="s">
        <v>9</v>
      </c>
      <c r="G151" t="s">
        <v>26</v>
      </c>
    </row>
    <row r="152" spans="1:7" x14ac:dyDescent="0.25">
      <c r="A152">
        <v>1037</v>
      </c>
      <c r="B152">
        <v>2022</v>
      </c>
      <c r="C152" t="s">
        <v>548</v>
      </c>
      <c r="D152" t="s">
        <v>170</v>
      </c>
      <c r="E152" t="s">
        <v>808</v>
      </c>
      <c r="F152" t="s">
        <v>11</v>
      </c>
      <c r="G152" t="s">
        <v>45</v>
      </c>
    </row>
    <row r="153" spans="1:7" x14ac:dyDescent="0.25">
      <c r="A153">
        <v>1041</v>
      </c>
      <c r="B153">
        <v>2022</v>
      </c>
      <c r="C153" t="s">
        <v>548</v>
      </c>
      <c r="D153" t="s">
        <v>170</v>
      </c>
      <c r="E153" t="s">
        <v>802</v>
      </c>
      <c r="F153" t="s">
        <v>11</v>
      </c>
      <c r="G153" t="s">
        <v>142</v>
      </c>
    </row>
    <row r="154" spans="1:7" x14ac:dyDescent="0.25">
      <c r="A154">
        <v>1038</v>
      </c>
      <c r="B154">
        <v>2022</v>
      </c>
      <c r="C154" t="s">
        <v>548</v>
      </c>
      <c r="D154" t="s">
        <v>170</v>
      </c>
      <c r="E154" t="s">
        <v>800</v>
      </c>
      <c r="F154" t="s">
        <v>1837</v>
      </c>
      <c r="G154" t="s">
        <v>107</v>
      </c>
    </row>
    <row r="155" spans="1:7" x14ac:dyDescent="0.25">
      <c r="A155">
        <v>1046</v>
      </c>
      <c r="B155">
        <v>2022</v>
      </c>
      <c r="C155" t="s">
        <v>548</v>
      </c>
      <c r="D155" t="s">
        <v>170</v>
      </c>
      <c r="E155" t="s">
        <v>807</v>
      </c>
      <c r="F155" t="s">
        <v>11</v>
      </c>
      <c r="G155" t="s">
        <v>172</v>
      </c>
    </row>
    <row r="156" spans="1:7" x14ac:dyDescent="0.25">
      <c r="A156">
        <v>1039</v>
      </c>
      <c r="B156">
        <v>2022</v>
      </c>
      <c r="C156" t="s">
        <v>548</v>
      </c>
      <c r="D156" t="s">
        <v>170</v>
      </c>
      <c r="E156" t="s">
        <v>798</v>
      </c>
      <c r="F156" t="s">
        <v>11</v>
      </c>
      <c r="G156" t="s">
        <v>172</v>
      </c>
    </row>
    <row r="157" spans="1:7" x14ac:dyDescent="0.25">
      <c r="A157">
        <v>1019</v>
      </c>
      <c r="B157">
        <v>2022</v>
      </c>
      <c r="C157" t="s">
        <v>548</v>
      </c>
      <c r="D157" t="s">
        <v>246</v>
      </c>
      <c r="E157" t="s">
        <v>792</v>
      </c>
      <c r="F157" t="s">
        <v>59</v>
      </c>
      <c r="G157" t="s">
        <v>293</v>
      </c>
    </row>
    <row r="158" spans="1:7" x14ac:dyDescent="0.25">
      <c r="A158">
        <v>1013</v>
      </c>
      <c r="B158">
        <v>2022</v>
      </c>
      <c r="C158" t="s">
        <v>548</v>
      </c>
      <c r="D158" t="s">
        <v>246</v>
      </c>
      <c r="E158" t="s">
        <v>786</v>
      </c>
      <c r="F158" t="s">
        <v>9</v>
      </c>
      <c r="G158" t="s">
        <v>10</v>
      </c>
    </row>
    <row r="159" spans="1:7" x14ac:dyDescent="0.25">
      <c r="A159">
        <v>1025</v>
      </c>
      <c r="B159">
        <v>2022</v>
      </c>
      <c r="C159" t="s">
        <v>548</v>
      </c>
      <c r="D159" t="s">
        <v>246</v>
      </c>
      <c r="E159" t="s">
        <v>795</v>
      </c>
      <c r="F159" t="s">
        <v>1837</v>
      </c>
      <c r="G159" t="s">
        <v>138</v>
      </c>
    </row>
    <row r="160" spans="1:7" x14ac:dyDescent="0.25">
      <c r="A160">
        <v>1021</v>
      </c>
      <c r="B160">
        <v>2022</v>
      </c>
      <c r="C160" t="s">
        <v>548</v>
      </c>
      <c r="D160" t="s">
        <v>246</v>
      </c>
      <c r="E160" t="s">
        <v>783</v>
      </c>
      <c r="F160" t="s">
        <v>12</v>
      </c>
      <c r="G160" t="s">
        <v>714</v>
      </c>
    </row>
    <row r="161" spans="1:7" x14ac:dyDescent="0.25">
      <c r="A161">
        <v>1018</v>
      </c>
      <c r="B161">
        <v>2022</v>
      </c>
      <c r="C161" t="s">
        <v>548</v>
      </c>
      <c r="D161" t="s">
        <v>246</v>
      </c>
      <c r="E161" t="s">
        <v>791</v>
      </c>
      <c r="F161" t="s">
        <v>12</v>
      </c>
      <c r="G161" t="s">
        <v>714</v>
      </c>
    </row>
    <row r="162" spans="1:7" x14ac:dyDescent="0.25">
      <c r="A162">
        <v>1020</v>
      </c>
      <c r="B162">
        <v>2022</v>
      </c>
      <c r="C162" t="s">
        <v>548</v>
      </c>
      <c r="D162" t="s">
        <v>246</v>
      </c>
      <c r="E162" t="s">
        <v>793</v>
      </c>
      <c r="F162" t="s">
        <v>16</v>
      </c>
      <c r="G162" t="s">
        <v>144</v>
      </c>
    </row>
    <row r="163" spans="1:7" x14ac:dyDescent="0.25">
      <c r="A163">
        <v>1014</v>
      </c>
      <c r="B163">
        <v>2022</v>
      </c>
      <c r="C163" t="s">
        <v>548</v>
      </c>
      <c r="D163" t="s">
        <v>246</v>
      </c>
      <c r="E163" t="s">
        <v>787</v>
      </c>
      <c r="F163" t="s">
        <v>1837</v>
      </c>
      <c r="G163" t="s">
        <v>56</v>
      </c>
    </row>
    <row r="164" spans="1:7" x14ac:dyDescent="0.25">
      <c r="A164">
        <v>1012</v>
      </c>
      <c r="B164">
        <v>2022</v>
      </c>
      <c r="C164" t="s">
        <v>548</v>
      </c>
      <c r="D164" t="s">
        <v>246</v>
      </c>
      <c r="E164" t="s">
        <v>782</v>
      </c>
      <c r="F164" t="s">
        <v>1837</v>
      </c>
      <c r="G164" t="s">
        <v>56</v>
      </c>
    </row>
    <row r="165" spans="1:7" x14ac:dyDescent="0.25">
      <c r="A165">
        <v>1017</v>
      </c>
      <c r="B165">
        <v>2022</v>
      </c>
      <c r="C165" t="s">
        <v>548</v>
      </c>
      <c r="D165" t="s">
        <v>246</v>
      </c>
      <c r="E165" t="s">
        <v>797</v>
      </c>
      <c r="F165" t="s">
        <v>42</v>
      </c>
      <c r="G165" t="s">
        <v>143</v>
      </c>
    </row>
    <row r="166" spans="1:7" x14ac:dyDescent="0.25">
      <c r="A166">
        <v>1026</v>
      </c>
      <c r="B166">
        <v>2022</v>
      </c>
      <c r="C166" t="s">
        <v>548</v>
      </c>
      <c r="D166" t="s">
        <v>246</v>
      </c>
      <c r="E166" t="s">
        <v>796</v>
      </c>
      <c r="F166" t="s">
        <v>12</v>
      </c>
      <c r="G166" t="s">
        <v>1573</v>
      </c>
    </row>
    <row r="167" spans="1:7" x14ac:dyDescent="0.25">
      <c r="A167">
        <v>1016</v>
      </c>
      <c r="B167">
        <v>2022</v>
      </c>
      <c r="C167" t="s">
        <v>548</v>
      </c>
      <c r="D167" t="s">
        <v>246</v>
      </c>
      <c r="E167" t="s">
        <v>789</v>
      </c>
      <c r="F167" t="s">
        <v>11</v>
      </c>
      <c r="G167" t="s">
        <v>58</v>
      </c>
    </row>
    <row r="168" spans="1:7" x14ac:dyDescent="0.25">
      <c r="A168">
        <v>1022</v>
      </c>
      <c r="B168">
        <v>2022</v>
      </c>
      <c r="C168" t="s">
        <v>548</v>
      </c>
      <c r="D168" t="s">
        <v>246</v>
      </c>
      <c r="E168" t="s">
        <v>784</v>
      </c>
      <c r="F168" t="s">
        <v>1837</v>
      </c>
      <c r="G168" t="s">
        <v>107</v>
      </c>
    </row>
    <row r="169" spans="1:7" x14ac:dyDescent="0.25">
      <c r="A169">
        <v>1024</v>
      </c>
      <c r="B169">
        <v>2022</v>
      </c>
      <c r="C169" t="s">
        <v>548</v>
      </c>
      <c r="D169" t="s">
        <v>246</v>
      </c>
      <c r="E169" t="s">
        <v>794</v>
      </c>
      <c r="F169" t="s">
        <v>9</v>
      </c>
      <c r="G169" t="s">
        <v>18</v>
      </c>
    </row>
    <row r="170" spans="1:7" x14ac:dyDescent="0.25">
      <c r="A170">
        <v>1015</v>
      </c>
      <c r="B170">
        <v>2022</v>
      </c>
      <c r="C170" t="s">
        <v>548</v>
      </c>
      <c r="D170" t="s">
        <v>246</v>
      </c>
      <c r="E170" t="s">
        <v>788</v>
      </c>
      <c r="F170" t="s">
        <v>9</v>
      </c>
      <c r="G170" t="s">
        <v>18</v>
      </c>
    </row>
    <row r="171" spans="1:7" x14ac:dyDescent="0.25">
      <c r="A171">
        <v>1023</v>
      </c>
      <c r="B171">
        <v>2022</v>
      </c>
      <c r="C171" t="s">
        <v>548</v>
      </c>
      <c r="D171" t="s">
        <v>246</v>
      </c>
      <c r="E171" t="s">
        <v>785</v>
      </c>
      <c r="F171" t="s">
        <v>16</v>
      </c>
      <c r="G171" t="s">
        <v>106</v>
      </c>
    </row>
    <row r="172" spans="1:7" x14ac:dyDescent="0.25">
      <c r="A172">
        <v>1074</v>
      </c>
      <c r="B172">
        <v>2022</v>
      </c>
      <c r="C172" t="s">
        <v>548</v>
      </c>
      <c r="D172" t="s">
        <v>279</v>
      </c>
      <c r="E172" t="s">
        <v>831</v>
      </c>
      <c r="F172" t="s">
        <v>9</v>
      </c>
      <c r="G172" t="s">
        <v>145</v>
      </c>
    </row>
    <row r="173" spans="1:7" x14ac:dyDescent="0.25">
      <c r="A173">
        <v>1061</v>
      </c>
      <c r="B173">
        <v>2022</v>
      </c>
      <c r="C173" t="s">
        <v>548</v>
      </c>
      <c r="D173" t="s">
        <v>279</v>
      </c>
      <c r="E173" t="s">
        <v>811</v>
      </c>
      <c r="F173" t="s">
        <v>9</v>
      </c>
      <c r="G173" t="s">
        <v>10</v>
      </c>
    </row>
    <row r="174" spans="1:7" x14ac:dyDescent="0.25">
      <c r="A174">
        <v>1060</v>
      </c>
      <c r="B174">
        <v>2022</v>
      </c>
      <c r="C174" t="s">
        <v>548</v>
      </c>
      <c r="D174" t="s">
        <v>279</v>
      </c>
      <c r="E174" t="s">
        <v>822</v>
      </c>
      <c r="F174" t="s">
        <v>9</v>
      </c>
      <c r="G174" t="s">
        <v>10</v>
      </c>
    </row>
    <row r="175" spans="1:7" x14ac:dyDescent="0.25">
      <c r="A175">
        <v>1066</v>
      </c>
      <c r="B175">
        <v>2022</v>
      </c>
      <c r="C175" t="s">
        <v>548</v>
      </c>
      <c r="D175" t="s">
        <v>279</v>
      </c>
      <c r="E175" t="s">
        <v>826</v>
      </c>
      <c r="F175" t="s">
        <v>1837</v>
      </c>
      <c r="G175" t="s">
        <v>52</v>
      </c>
    </row>
    <row r="176" spans="1:7" x14ac:dyDescent="0.25">
      <c r="A176">
        <v>1063</v>
      </c>
      <c r="B176">
        <v>2022</v>
      </c>
      <c r="C176" t="s">
        <v>548</v>
      </c>
      <c r="D176" t="s">
        <v>279</v>
      </c>
      <c r="E176" t="s">
        <v>823</v>
      </c>
      <c r="F176" t="s">
        <v>1837</v>
      </c>
      <c r="G176" t="s">
        <v>52</v>
      </c>
    </row>
    <row r="177" spans="1:7" x14ac:dyDescent="0.25">
      <c r="A177">
        <v>1065</v>
      </c>
      <c r="B177">
        <v>2022</v>
      </c>
      <c r="C177" t="s">
        <v>548</v>
      </c>
      <c r="D177" t="s">
        <v>279</v>
      </c>
      <c r="E177" t="s">
        <v>825</v>
      </c>
      <c r="F177" t="s">
        <v>9</v>
      </c>
      <c r="G177" t="s">
        <v>173</v>
      </c>
    </row>
    <row r="178" spans="1:7" x14ac:dyDescent="0.25">
      <c r="A178">
        <v>1075</v>
      </c>
      <c r="B178">
        <v>2022</v>
      </c>
      <c r="C178" t="s">
        <v>548</v>
      </c>
      <c r="D178" t="s">
        <v>279</v>
      </c>
      <c r="E178" t="s">
        <v>832</v>
      </c>
      <c r="F178" t="s">
        <v>1837</v>
      </c>
      <c r="G178" t="s">
        <v>62</v>
      </c>
    </row>
    <row r="179" spans="1:7" x14ac:dyDescent="0.25">
      <c r="A179">
        <v>1068</v>
      </c>
      <c r="B179">
        <v>2022</v>
      </c>
      <c r="C179" t="s">
        <v>548</v>
      </c>
      <c r="D179" t="s">
        <v>279</v>
      </c>
      <c r="E179" t="s">
        <v>827</v>
      </c>
      <c r="F179" t="s">
        <v>1837</v>
      </c>
      <c r="G179" t="s">
        <v>62</v>
      </c>
    </row>
    <row r="180" spans="1:7" x14ac:dyDescent="0.25">
      <c r="A180">
        <v>1064</v>
      </c>
      <c r="B180">
        <v>2022</v>
      </c>
      <c r="C180" t="s">
        <v>548</v>
      </c>
      <c r="D180" t="s">
        <v>279</v>
      </c>
      <c r="E180" t="s">
        <v>824</v>
      </c>
      <c r="F180" t="s">
        <v>11</v>
      </c>
      <c r="G180" t="s">
        <v>58</v>
      </c>
    </row>
    <row r="181" spans="1:7" x14ac:dyDescent="0.25">
      <c r="A181">
        <v>1073</v>
      </c>
      <c r="B181">
        <v>2022</v>
      </c>
      <c r="C181" t="s">
        <v>548</v>
      </c>
      <c r="D181" t="s">
        <v>279</v>
      </c>
      <c r="E181" t="s">
        <v>830</v>
      </c>
      <c r="F181" t="s">
        <v>1837</v>
      </c>
      <c r="G181" t="s">
        <v>68</v>
      </c>
    </row>
    <row r="182" spans="1:7" x14ac:dyDescent="0.25">
      <c r="A182">
        <v>1072</v>
      </c>
      <c r="B182">
        <v>2022</v>
      </c>
      <c r="C182" t="s">
        <v>548</v>
      </c>
      <c r="D182" t="s">
        <v>279</v>
      </c>
      <c r="E182" t="s">
        <v>829</v>
      </c>
      <c r="F182" t="s">
        <v>1837</v>
      </c>
      <c r="G182" t="s">
        <v>68</v>
      </c>
    </row>
    <row r="183" spans="1:7" x14ac:dyDescent="0.25">
      <c r="A183">
        <v>1059</v>
      </c>
      <c r="B183">
        <v>2022</v>
      </c>
      <c r="C183" t="s">
        <v>548</v>
      </c>
      <c r="D183" t="s">
        <v>279</v>
      </c>
      <c r="E183" t="s">
        <v>821</v>
      </c>
      <c r="F183" t="s">
        <v>12</v>
      </c>
      <c r="G183" t="s">
        <v>32</v>
      </c>
    </row>
    <row r="184" spans="1:7" x14ac:dyDescent="0.25">
      <c r="A184">
        <v>1070</v>
      </c>
      <c r="B184">
        <v>2022</v>
      </c>
      <c r="C184" t="s">
        <v>548</v>
      </c>
      <c r="D184" t="s">
        <v>279</v>
      </c>
      <c r="E184" t="s">
        <v>828</v>
      </c>
      <c r="F184" t="s">
        <v>9</v>
      </c>
      <c r="G184" t="s">
        <v>18</v>
      </c>
    </row>
    <row r="185" spans="1:7" x14ac:dyDescent="0.25">
      <c r="A185">
        <v>1123</v>
      </c>
      <c r="B185">
        <v>2022</v>
      </c>
      <c r="C185" t="s">
        <v>548</v>
      </c>
      <c r="D185" t="s">
        <v>306</v>
      </c>
      <c r="E185" t="s">
        <v>880</v>
      </c>
      <c r="F185" t="s">
        <v>9</v>
      </c>
      <c r="G185" t="s">
        <v>145</v>
      </c>
    </row>
    <row r="186" spans="1:7" x14ac:dyDescent="0.25">
      <c r="A186">
        <v>1122</v>
      </c>
      <c r="B186">
        <v>2022</v>
      </c>
      <c r="C186" t="s">
        <v>548</v>
      </c>
      <c r="D186" t="s">
        <v>306</v>
      </c>
      <c r="E186" t="s">
        <v>879</v>
      </c>
      <c r="F186" t="s">
        <v>9</v>
      </c>
      <c r="G186" t="s">
        <v>145</v>
      </c>
    </row>
    <row r="187" spans="1:7" x14ac:dyDescent="0.25">
      <c r="A187">
        <v>1140</v>
      </c>
      <c r="B187">
        <v>2022</v>
      </c>
      <c r="C187" t="s">
        <v>548</v>
      </c>
      <c r="D187" t="s">
        <v>306</v>
      </c>
      <c r="E187" t="s">
        <v>888</v>
      </c>
      <c r="F187" t="s">
        <v>1837</v>
      </c>
      <c r="G187" t="s">
        <v>20</v>
      </c>
    </row>
    <row r="188" spans="1:7" x14ac:dyDescent="0.25">
      <c r="A188">
        <v>1129</v>
      </c>
      <c r="B188">
        <v>2022</v>
      </c>
      <c r="C188" t="s">
        <v>548</v>
      </c>
      <c r="D188" t="s">
        <v>306</v>
      </c>
      <c r="E188" t="s">
        <v>858</v>
      </c>
      <c r="F188" t="s">
        <v>11</v>
      </c>
      <c r="G188" t="s">
        <v>10</v>
      </c>
    </row>
    <row r="189" spans="1:7" x14ac:dyDescent="0.25">
      <c r="A189">
        <v>1133</v>
      </c>
      <c r="B189">
        <v>2022</v>
      </c>
      <c r="C189" t="s">
        <v>548</v>
      </c>
      <c r="D189" t="s">
        <v>306</v>
      </c>
      <c r="E189" t="s">
        <v>839</v>
      </c>
      <c r="F189" t="s">
        <v>9</v>
      </c>
      <c r="G189" t="s">
        <v>10</v>
      </c>
    </row>
    <row r="190" spans="1:7" x14ac:dyDescent="0.25">
      <c r="A190">
        <v>1127</v>
      </c>
      <c r="B190">
        <v>2022</v>
      </c>
      <c r="C190" t="s">
        <v>548</v>
      </c>
      <c r="D190" t="s">
        <v>306</v>
      </c>
      <c r="E190" t="s">
        <v>835</v>
      </c>
      <c r="F190" t="s">
        <v>9</v>
      </c>
      <c r="G190" t="s">
        <v>10</v>
      </c>
    </row>
    <row r="191" spans="1:7" x14ac:dyDescent="0.25">
      <c r="A191">
        <v>1132</v>
      </c>
      <c r="B191">
        <v>2022</v>
      </c>
      <c r="C191" t="s">
        <v>548</v>
      </c>
      <c r="D191" t="s">
        <v>306</v>
      </c>
      <c r="E191" t="s">
        <v>838</v>
      </c>
      <c r="F191" t="s">
        <v>1837</v>
      </c>
      <c r="G191" t="s">
        <v>52</v>
      </c>
    </row>
    <row r="192" spans="1:7" x14ac:dyDescent="0.25">
      <c r="A192">
        <v>1130</v>
      </c>
      <c r="B192">
        <v>2022</v>
      </c>
      <c r="C192" t="s">
        <v>548</v>
      </c>
      <c r="D192" t="s">
        <v>306</v>
      </c>
      <c r="E192" t="s">
        <v>859</v>
      </c>
      <c r="F192" t="s">
        <v>1837</v>
      </c>
      <c r="G192" t="s">
        <v>52</v>
      </c>
    </row>
    <row r="193" spans="1:7" x14ac:dyDescent="0.25">
      <c r="A193">
        <v>1120</v>
      </c>
      <c r="B193">
        <v>2022</v>
      </c>
      <c r="C193" t="s">
        <v>548</v>
      </c>
      <c r="D193" t="s">
        <v>306</v>
      </c>
      <c r="E193" t="s">
        <v>877</v>
      </c>
      <c r="F193" t="s">
        <v>1837</v>
      </c>
      <c r="G193" t="s">
        <v>52</v>
      </c>
    </row>
    <row r="194" spans="1:7" x14ac:dyDescent="0.25">
      <c r="A194">
        <v>1111</v>
      </c>
      <c r="B194">
        <v>2022</v>
      </c>
      <c r="C194" t="s">
        <v>548</v>
      </c>
      <c r="D194" t="s">
        <v>306</v>
      </c>
      <c r="E194" t="s">
        <v>873</v>
      </c>
      <c r="F194" t="s">
        <v>9</v>
      </c>
      <c r="G194" t="s">
        <v>173</v>
      </c>
    </row>
    <row r="195" spans="1:7" x14ac:dyDescent="0.25">
      <c r="A195">
        <v>1143</v>
      </c>
      <c r="B195">
        <v>2022</v>
      </c>
      <c r="C195" t="s">
        <v>548</v>
      </c>
      <c r="D195" t="s">
        <v>306</v>
      </c>
      <c r="E195" t="s">
        <v>871</v>
      </c>
      <c r="F195" t="s">
        <v>11</v>
      </c>
      <c r="G195" t="s">
        <v>1639</v>
      </c>
    </row>
    <row r="196" spans="1:7" x14ac:dyDescent="0.25">
      <c r="A196">
        <v>1110</v>
      </c>
      <c r="B196">
        <v>2022</v>
      </c>
      <c r="C196" t="s">
        <v>548</v>
      </c>
      <c r="D196" t="s">
        <v>306</v>
      </c>
      <c r="E196" t="s">
        <v>836</v>
      </c>
      <c r="F196" t="s">
        <v>11</v>
      </c>
      <c r="G196" t="s">
        <v>1639</v>
      </c>
    </row>
    <row r="197" spans="1:7" x14ac:dyDescent="0.25">
      <c r="A197">
        <v>1134</v>
      </c>
      <c r="B197">
        <v>2022</v>
      </c>
      <c r="C197" t="s">
        <v>548</v>
      </c>
      <c r="D197" t="s">
        <v>306</v>
      </c>
      <c r="E197" t="s">
        <v>840</v>
      </c>
      <c r="F197" t="s">
        <v>9</v>
      </c>
      <c r="G197" t="s">
        <v>26</v>
      </c>
    </row>
    <row r="198" spans="1:7" x14ac:dyDescent="0.25">
      <c r="A198">
        <v>1131</v>
      </c>
      <c r="B198">
        <v>2022</v>
      </c>
      <c r="C198" t="s">
        <v>548</v>
      </c>
      <c r="D198" t="s">
        <v>306</v>
      </c>
      <c r="E198" t="s">
        <v>884</v>
      </c>
      <c r="F198" t="s">
        <v>1837</v>
      </c>
      <c r="G198" t="s">
        <v>71</v>
      </c>
    </row>
    <row r="199" spans="1:7" x14ac:dyDescent="0.25">
      <c r="A199">
        <v>1125</v>
      </c>
      <c r="B199">
        <v>2022</v>
      </c>
      <c r="C199" t="s">
        <v>548</v>
      </c>
      <c r="D199" t="s">
        <v>306</v>
      </c>
      <c r="E199" t="s">
        <v>882</v>
      </c>
      <c r="F199" t="s">
        <v>1837</v>
      </c>
      <c r="G199" t="s">
        <v>71</v>
      </c>
    </row>
    <row r="200" spans="1:7" x14ac:dyDescent="0.25">
      <c r="A200">
        <v>1121</v>
      </c>
      <c r="B200">
        <v>2022</v>
      </c>
      <c r="C200" t="s">
        <v>548</v>
      </c>
      <c r="D200" t="s">
        <v>306</v>
      </c>
      <c r="E200" t="s">
        <v>878</v>
      </c>
      <c r="F200" t="s">
        <v>16</v>
      </c>
      <c r="G200" t="s">
        <v>144</v>
      </c>
    </row>
    <row r="201" spans="1:7" x14ac:dyDescent="0.25">
      <c r="A201">
        <v>1142</v>
      </c>
      <c r="B201">
        <v>2022</v>
      </c>
      <c r="C201" t="s">
        <v>548</v>
      </c>
      <c r="D201" t="s">
        <v>306</v>
      </c>
      <c r="E201" t="s">
        <v>870</v>
      </c>
      <c r="F201" t="s">
        <v>12</v>
      </c>
      <c r="G201" t="s">
        <v>13</v>
      </c>
    </row>
    <row r="202" spans="1:7" x14ac:dyDescent="0.25">
      <c r="A202">
        <v>1137</v>
      </c>
      <c r="B202">
        <v>2022</v>
      </c>
      <c r="C202" t="s">
        <v>548</v>
      </c>
      <c r="D202" t="s">
        <v>306</v>
      </c>
      <c r="E202" t="s">
        <v>886</v>
      </c>
      <c r="F202" t="s">
        <v>12</v>
      </c>
      <c r="G202" t="s">
        <v>13</v>
      </c>
    </row>
    <row r="203" spans="1:7" x14ac:dyDescent="0.25">
      <c r="A203">
        <v>1128</v>
      </c>
      <c r="B203">
        <v>2022</v>
      </c>
      <c r="C203" t="s">
        <v>548</v>
      </c>
      <c r="D203" t="s">
        <v>306</v>
      </c>
      <c r="E203" t="s">
        <v>837</v>
      </c>
      <c r="F203" t="s">
        <v>12</v>
      </c>
      <c r="G203" t="s">
        <v>13</v>
      </c>
    </row>
    <row r="204" spans="1:7" x14ac:dyDescent="0.25">
      <c r="A204">
        <v>1113</v>
      </c>
      <c r="B204">
        <v>2022</v>
      </c>
      <c r="C204" t="s">
        <v>548</v>
      </c>
      <c r="D204" t="s">
        <v>306</v>
      </c>
      <c r="E204" t="s">
        <v>844</v>
      </c>
      <c r="F204" t="s">
        <v>11</v>
      </c>
      <c r="G204" t="s">
        <v>45</v>
      </c>
    </row>
    <row r="205" spans="1:7" x14ac:dyDescent="0.25">
      <c r="A205">
        <v>1135</v>
      </c>
      <c r="B205">
        <v>2022</v>
      </c>
      <c r="C205" t="s">
        <v>548</v>
      </c>
      <c r="D205" t="s">
        <v>306</v>
      </c>
      <c r="E205" t="s">
        <v>841</v>
      </c>
      <c r="F205" t="s">
        <v>12</v>
      </c>
      <c r="G205" t="s">
        <v>1573</v>
      </c>
    </row>
    <row r="206" spans="1:7" x14ac:dyDescent="0.25">
      <c r="A206">
        <v>1112</v>
      </c>
      <c r="B206">
        <v>2022</v>
      </c>
      <c r="C206" t="s">
        <v>548</v>
      </c>
      <c r="D206" t="s">
        <v>306</v>
      </c>
      <c r="E206" t="s">
        <v>843</v>
      </c>
      <c r="F206" t="s">
        <v>11</v>
      </c>
      <c r="G206" t="s">
        <v>58</v>
      </c>
    </row>
    <row r="207" spans="1:7" x14ac:dyDescent="0.25">
      <c r="A207">
        <v>1109</v>
      </c>
      <c r="B207">
        <v>2022</v>
      </c>
      <c r="C207" t="s">
        <v>548</v>
      </c>
      <c r="D207" t="s">
        <v>306</v>
      </c>
      <c r="E207" t="s">
        <v>872</v>
      </c>
      <c r="F207" t="s">
        <v>11</v>
      </c>
      <c r="G207" t="s">
        <v>58</v>
      </c>
    </row>
    <row r="208" spans="1:7" x14ac:dyDescent="0.25">
      <c r="A208">
        <v>1126</v>
      </c>
      <c r="B208">
        <v>2022</v>
      </c>
      <c r="C208" t="s">
        <v>548</v>
      </c>
      <c r="D208" t="s">
        <v>306</v>
      </c>
      <c r="E208" t="s">
        <v>883</v>
      </c>
      <c r="F208" t="s">
        <v>11</v>
      </c>
      <c r="G208" t="s">
        <v>142</v>
      </c>
    </row>
    <row r="209" spans="1:7" x14ac:dyDescent="0.25">
      <c r="A209">
        <v>1117</v>
      </c>
      <c r="B209">
        <v>2022</v>
      </c>
      <c r="C209" t="s">
        <v>548</v>
      </c>
      <c r="D209" t="s">
        <v>306</v>
      </c>
      <c r="E209" t="s">
        <v>874</v>
      </c>
      <c r="F209" t="s">
        <v>1837</v>
      </c>
      <c r="G209" t="s">
        <v>107</v>
      </c>
    </row>
    <row r="210" spans="1:7" x14ac:dyDescent="0.25">
      <c r="A210">
        <v>1114</v>
      </c>
      <c r="B210">
        <v>2022</v>
      </c>
      <c r="C210" t="s">
        <v>548</v>
      </c>
      <c r="D210" t="s">
        <v>306</v>
      </c>
      <c r="E210" t="s">
        <v>845</v>
      </c>
      <c r="F210" t="s">
        <v>1837</v>
      </c>
      <c r="G210" t="s">
        <v>107</v>
      </c>
    </row>
    <row r="211" spans="1:7" x14ac:dyDescent="0.25">
      <c r="A211">
        <v>1118</v>
      </c>
      <c r="B211">
        <v>2022</v>
      </c>
      <c r="C211" t="s">
        <v>548</v>
      </c>
      <c r="D211" t="s">
        <v>306</v>
      </c>
      <c r="E211" t="s">
        <v>875</v>
      </c>
      <c r="F211" t="s">
        <v>9</v>
      </c>
      <c r="G211" t="s">
        <v>15</v>
      </c>
    </row>
    <row r="212" spans="1:7" x14ac:dyDescent="0.25">
      <c r="A212">
        <v>1116</v>
      </c>
      <c r="B212">
        <v>2022</v>
      </c>
      <c r="C212" t="s">
        <v>548</v>
      </c>
      <c r="D212" t="s">
        <v>306</v>
      </c>
      <c r="E212" t="s">
        <v>847</v>
      </c>
      <c r="F212" t="s">
        <v>16</v>
      </c>
      <c r="G212" t="s">
        <v>17</v>
      </c>
    </row>
    <row r="213" spans="1:7" x14ac:dyDescent="0.25">
      <c r="A213">
        <v>1136</v>
      </c>
      <c r="B213">
        <v>2022</v>
      </c>
      <c r="C213" t="s">
        <v>548</v>
      </c>
      <c r="D213" t="s">
        <v>306</v>
      </c>
      <c r="E213" t="s">
        <v>885</v>
      </c>
      <c r="F213" t="s">
        <v>12</v>
      </c>
      <c r="G213" t="s">
        <v>32</v>
      </c>
    </row>
    <row r="214" spans="1:7" x14ac:dyDescent="0.25">
      <c r="A214">
        <v>1119</v>
      </c>
      <c r="B214">
        <v>2022</v>
      </c>
      <c r="C214" t="s">
        <v>548</v>
      </c>
      <c r="D214" t="s">
        <v>306</v>
      </c>
      <c r="E214" t="s">
        <v>876</v>
      </c>
      <c r="F214" t="s">
        <v>12</v>
      </c>
      <c r="G214" t="s">
        <v>32</v>
      </c>
    </row>
    <row r="215" spans="1:7" x14ac:dyDescent="0.25">
      <c r="A215">
        <v>1141</v>
      </c>
      <c r="B215">
        <v>2022</v>
      </c>
      <c r="C215" t="s">
        <v>548</v>
      </c>
      <c r="D215" t="s">
        <v>306</v>
      </c>
      <c r="E215" t="s">
        <v>869</v>
      </c>
      <c r="F215" t="s">
        <v>9</v>
      </c>
      <c r="G215" t="s">
        <v>18</v>
      </c>
    </row>
    <row r="216" spans="1:7" x14ac:dyDescent="0.25">
      <c r="A216">
        <v>1115</v>
      </c>
      <c r="B216">
        <v>2022</v>
      </c>
      <c r="C216" t="s">
        <v>548</v>
      </c>
      <c r="D216" t="s">
        <v>306</v>
      </c>
      <c r="E216" t="s">
        <v>846</v>
      </c>
      <c r="F216" t="s">
        <v>9</v>
      </c>
      <c r="G216" t="s">
        <v>18</v>
      </c>
    </row>
    <row r="217" spans="1:7" x14ac:dyDescent="0.25">
      <c r="A217">
        <v>1138</v>
      </c>
      <c r="B217">
        <v>2022</v>
      </c>
      <c r="C217" t="s">
        <v>548</v>
      </c>
      <c r="D217" t="s">
        <v>306</v>
      </c>
      <c r="E217" t="s">
        <v>887</v>
      </c>
      <c r="F217" t="s">
        <v>12</v>
      </c>
      <c r="G217" t="s">
        <v>93</v>
      </c>
    </row>
    <row r="218" spans="1:7" x14ac:dyDescent="0.25">
      <c r="A218">
        <v>1124</v>
      </c>
      <c r="B218">
        <v>2022</v>
      </c>
      <c r="C218" t="s">
        <v>548</v>
      </c>
      <c r="D218" t="s">
        <v>306</v>
      </c>
      <c r="E218" t="s">
        <v>881</v>
      </c>
      <c r="F218" t="s">
        <v>12</v>
      </c>
      <c r="G218" t="s">
        <v>93</v>
      </c>
    </row>
    <row r="219" spans="1:7" x14ac:dyDescent="0.25">
      <c r="A219">
        <v>1344</v>
      </c>
      <c r="B219">
        <v>2022</v>
      </c>
      <c r="C219" t="s">
        <v>548</v>
      </c>
      <c r="D219" t="s">
        <v>541</v>
      </c>
      <c r="E219" t="s">
        <v>1009</v>
      </c>
      <c r="F219" t="s">
        <v>9</v>
      </c>
      <c r="G219" t="s">
        <v>145</v>
      </c>
    </row>
    <row r="220" spans="1:7" x14ac:dyDescent="0.25">
      <c r="A220">
        <v>1347</v>
      </c>
      <c r="B220">
        <v>2022</v>
      </c>
      <c r="C220" t="s">
        <v>548</v>
      </c>
      <c r="D220" t="s">
        <v>541</v>
      </c>
      <c r="E220" t="s">
        <v>1011</v>
      </c>
      <c r="F220" t="s">
        <v>1837</v>
      </c>
      <c r="G220" t="s">
        <v>20</v>
      </c>
    </row>
    <row r="221" spans="1:7" x14ac:dyDescent="0.25">
      <c r="A221">
        <v>1353</v>
      </c>
      <c r="B221">
        <v>2022</v>
      </c>
      <c r="C221" t="s">
        <v>548</v>
      </c>
      <c r="D221" t="s">
        <v>541</v>
      </c>
      <c r="E221" t="s">
        <v>1016</v>
      </c>
      <c r="F221" t="s">
        <v>1837</v>
      </c>
      <c r="G221" t="s">
        <v>52</v>
      </c>
    </row>
    <row r="222" spans="1:7" x14ac:dyDescent="0.25">
      <c r="A222">
        <v>1351</v>
      </c>
      <c r="B222">
        <v>2022</v>
      </c>
      <c r="C222" t="s">
        <v>548</v>
      </c>
      <c r="D222" t="s">
        <v>541</v>
      </c>
      <c r="E222" t="s">
        <v>1015</v>
      </c>
      <c r="F222" t="s">
        <v>9</v>
      </c>
      <c r="G222" t="s">
        <v>173</v>
      </c>
    </row>
    <row r="223" spans="1:7" x14ac:dyDescent="0.25">
      <c r="A223">
        <v>1350</v>
      </c>
      <c r="B223">
        <v>2022</v>
      </c>
      <c r="C223" t="s">
        <v>548</v>
      </c>
      <c r="D223" t="s">
        <v>541</v>
      </c>
      <c r="E223" t="s">
        <v>1014</v>
      </c>
      <c r="F223" t="s">
        <v>1837</v>
      </c>
      <c r="G223" t="s">
        <v>70</v>
      </c>
    </row>
    <row r="224" spans="1:7" x14ac:dyDescent="0.25">
      <c r="A224">
        <v>1345</v>
      </c>
      <c r="B224">
        <v>2022</v>
      </c>
      <c r="C224" t="s">
        <v>548</v>
      </c>
      <c r="D224" t="s">
        <v>541</v>
      </c>
      <c r="E224" t="s">
        <v>1010</v>
      </c>
      <c r="F224" t="s">
        <v>11</v>
      </c>
      <c r="G224" t="s">
        <v>142</v>
      </c>
    </row>
    <row r="225" spans="1:7" x14ac:dyDescent="0.25">
      <c r="A225">
        <v>1354</v>
      </c>
      <c r="B225">
        <v>2022</v>
      </c>
      <c r="C225" t="s">
        <v>548</v>
      </c>
      <c r="D225" t="s">
        <v>541</v>
      </c>
      <c r="E225" t="s">
        <v>1017</v>
      </c>
      <c r="F225" t="s">
        <v>42</v>
      </c>
      <c r="G225" t="s">
        <v>43</v>
      </c>
    </row>
    <row r="226" spans="1:7" x14ac:dyDescent="0.25">
      <c r="A226">
        <v>1348</v>
      </c>
      <c r="B226">
        <v>2022</v>
      </c>
      <c r="C226" t="s">
        <v>548</v>
      </c>
      <c r="D226" t="s">
        <v>541</v>
      </c>
      <c r="E226" t="s">
        <v>1012</v>
      </c>
      <c r="F226" t="s">
        <v>11</v>
      </c>
      <c r="G226" t="s">
        <v>172</v>
      </c>
    </row>
    <row r="227" spans="1:7" x14ac:dyDescent="0.25">
      <c r="A227">
        <v>1342</v>
      </c>
      <c r="B227">
        <v>2022</v>
      </c>
      <c r="C227" t="s">
        <v>548</v>
      </c>
      <c r="D227" t="s">
        <v>541</v>
      </c>
      <c r="E227" t="s">
        <v>1007</v>
      </c>
      <c r="F227" t="s">
        <v>11</v>
      </c>
      <c r="G227" t="s">
        <v>172</v>
      </c>
    </row>
    <row r="228" spans="1:7" x14ac:dyDescent="0.25">
      <c r="A228">
        <v>1341</v>
      </c>
      <c r="B228">
        <v>2022</v>
      </c>
      <c r="C228" t="s">
        <v>548</v>
      </c>
      <c r="D228" t="s">
        <v>541</v>
      </c>
      <c r="E228" t="s">
        <v>1006</v>
      </c>
      <c r="F228" t="s">
        <v>11</v>
      </c>
      <c r="G228" t="s">
        <v>172</v>
      </c>
    </row>
    <row r="229" spans="1:7" x14ac:dyDescent="0.25">
      <c r="A229">
        <v>1343</v>
      </c>
      <c r="B229">
        <v>2022</v>
      </c>
      <c r="C229" t="s">
        <v>548</v>
      </c>
      <c r="D229" t="s">
        <v>541</v>
      </c>
      <c r="E229" t="s">
        <v>1008</v>
      </c>
      <c r="F229" t="s">
        <v>1837</v>
      </c>
      <c r="G229" t="s">
        <v>22</v>
      </c>
    </row>
    <row r="230" spans="1:7" x14ac:dyDescent="0.25">
      <c r="A230">
        <v>1349</v>
      </c>
      <c r="B230">
        <v>2022</v>
      </c>
      <c r="C230" t="s">
        <v>548</v>
      </c>
      <c r="D230" t="s">
        <v>541</v>
      </c>
      <c r="E230" t="s">
        <v>1013</v>
      </c>
      <c r="F230" t="s">
        <v>12</v>
      </c>
      <c r="G230" t="s">
        <v>93</v>
      </c>
    </row>
    <row r="231" spans="1:7" x14ac:dyDescent="0.25">
      <c r="A231">
        <v>1158</v>
      </c>
      <c r="B231">
        <v>2022</v>
      </c>
      <c r="C231" t="s">
        <v>548</v>
      </c>
      <c r="D231" t="s">
        <v>380</v>
      </c>
      <c r="E231" t="s">
        <v>894</v>
      </c>
      <c r="F231" t="s">
        <v>11</v>
      </c>
      <c r="G231" t="s">
        <v>10</v>
      </c>
    </row>
    <row r="232" spans="1:7" x14ac:dyDescent="0.25">
      <c r="A232">
        <v>1160</v>
      </c>
      <c r="B232">
        <v>2022</v>
      </c>
      <c r="C232" t="s">
        <v>548</v>
      </c>
      <c r="D232" t="s">
        <v>380</v>
      </c>
      <c r="E232" t="s">
        <v>896</v>
      </c>
      <c r="F232" t="s">
        <v>9</v>
      </c>
      <c r="G232" t="s">
        <v>10</v>
      </c>
    </row>
    <row r="233" spans="1:7" x14ac:dyDescent="0.25">
      <c r="A233">
        <v>1163</v>
      </c>
      <c r="B233">
        <v>2022</v>
      </c>
      <c r="C233" t="s">
        <v>548</v>
      </c>
      <c r="D233" t="s">
        <v>380</v>
      </c>
      <c r="E233" t="s">
        <v>899</v>
      </c>
      <c r="F233" t="s">
        <v>1837</v>
      </c>
      <c r="G233" t="s">
        <v>52</v>
      </c>
    </row>
    <row r="234" spans="1:7" x14ac:dyDescent="0.25">
      <c r="A234">
        <v>1162</v>
      </c>
      <c r="B234">
        <v>2022</v>
      </c>
      <c r="C234" t="s">
        <v>548</v>
      </c>
      <c r="D234" t="s">
        <v>380</v>
      </c>
      <c r="E234" t="s">
        <v>642</v>
      </c>
      <c r="F234" t="s">
        <v>1837</v>
      </c>
      <c r="G234" t="s">
        <v>52</v>
      </c>
    </row>
    <row r="235" spans="1:7" x14ac:dyDescent="0.25">
      <c r="A235">
        <v>1159</v>
      </c>
      <c r="B235">
        <v>2022</v>
      </c>
      <c r="C235" t="s">
        <v>548</v>
      </c>
      <c r="D235" t="s">
        <v>380</v>
      </c>
      <c r="E235" t="s">
        <v>895</v>
      </c>
      <c r="F235" t="s">
        <v>9</v>
      </c>
      <c r="G235" t="s">
        <v>173</v>
      </c>
    </row>
    <row r="236" spans="1:7" x14ac:dyDescent="0.25">
      <c r="A236">
        <v>1154</v>
      </c>
      <c r="B236">
        <v>2022</v>
      </c>
      <c r="C236" t="s">
        <v>548</v>
      </c>
      <c r="D236" t="s">
        <v>380</v>
      </c>
      <c r="E236" t="s">
        <v>890</v>
      </c>
      <c r="F236" t="s">
        <v>11</v>
      </c>
      <c r="G236" t="s">
        <v>1639</v>
      </c>
    </row>
    <row r="237" spans="1:7" x14ac:dyDescent="0.25">
      <c r="A237">
        <v>1156</v>
      </c>
      <c r="B237">
        <v>2022</v>
      </c>
      <c r="C237" t="s">
        <v>548</v>
      </c>
      <c r="D237" t="s">
        <v>380</v>
      </c>
      <c r="E237" t="s">
        <v>892</v>
      </c>
      <c r="F237" t="s">
        <v>12</v>
      </c>
      <c r="G237" t="s">
        <v>13</v>
      </c>
    </row>
    <row r="238" spans="1:7" x14ac:dyDescent="0.25">
      <c r="A238">
        <v>1157</v>
      </c>
      <c r="B238">
        <v>2022</v>
      </c>
      <c r="C238" t="s">
        <v>548</v>
      </c>
      <c r="D238" t="s">
        <v>380</v>
      </c>
      <c r="E238" t="s">
        <v>893</v>
      </c>
      <c r="F238" t="s">
        <v>1837</v>
      </c>
      <c r="G238" t="s">
        <v>70</v>
      </c>
    </row>
    <row r="239" spans="1:7" x14ac:dyDescent="0.25">
      <c r="A239">
        <v>1155</v>
      </c>
      <c r="B239">
        <v>2022</v>
      </c>
      <c r="C239" t="s">
        <v>548</v>
      </c>
      <c r="D239" t="s">
        <v>380</v>
      </c>
      <c r="E239" t="s">
        <v>891</v>
      </c>
      <c r="F239" t="s">
        <v>11</v>
      </c>
      <c r="G239" t="s">
        <v>58</v>
      </c>
    </row>
    <row r="240" spans="1:7" x14ac:dyDescent="0.25">
      <c r="A240">
        <v>1153</v>
      </c>
      <c r="B240">
        <v>2022</v>
      </c>
      <c r="C240" t="s">
        <v>548</v>
      </c>
      <c r="D240" t="s">
        <v>380</v>
      </c>
      <c r="E240" t="s">
        <v>889</v>
      </c>
      <c r="F240" t="s">
        <v>11</v>
      </c>
      <c r="G240" t="s">
        <v>58</v>
      </c>
    </row>
    <row r="241" spans="1:7" x14ac:dyDescent="0.25">
      <c r="A241">
        <v>1161</v>
      </c>
      <c r="B241">
        <v>2022</v>
      </c>
      <c r="C241" t="s">
        <v>548</v>
      </c>
      <c r="D241" t="s">
        <v>380</v>
      </c>
      <c r="E241" t="s">
        <v>898</v>
      </c>
      <c r="F241" t="s">
        <v>9</v>
      </c>
      <c r="G241" t="s">
        <v>15</v>
      </c>
    </row>
    <row r="242" spans="1:7" x14ac:dyDescent="0.25">
      <c r="A242">
        <v>1169</v>
      </c>
      <c r="B242">
        <v>2022</v>
      </c>
      <c r="C242" t="s">
        <v>548</v>
      </c>
      <c r="D242" t="s">
        <v>391</v>
      </c>
      <c r="E242" t="s">
        <v>900</v>
      </c>
      <c r="F242" t="s">
        <v>59</v>
      </c>
      <c r="G242" t="s">
        <v>293</v>
      </c>
    </row>
    <row r="243" spans="1:7" x14ac:dyDescent="0.25">
      <c r="A243">
        <v>1172</v>
      </c>
      <c r="B243">
        <v>2022</v>
      </c>
      <c r="C243" t="s">
        <v>548</v>
      </c>
      <c r="D243" t="s">
        <v>391</v>
      </c>
      <c r="E243" t="s">
        <v>903</v>
      </c>
      <c r="F243" t="s">
        <v>1837</v>
      </c>
      <c r="G243" t="s">
        <v>71</v>
      </c>
    </row>
    <row r="244" spans="1:7" x14ac:dyDescent="0.25">
      <c r="A244">
        <v>1171</v>
      </c>
      <c r="B244">
        <v>2022</v>
      </c>
      <c r="C244" t="s">
        <v>548</v>
      </c>
      <c r="D244" t="s">
        <v>391</v>
      </c>
      <c r="E244" t="s">
        <v>902</v>
      </c>
      <c r="F244" t="s">
        <v>11</v>
      </c>
      <c r="G244" t="s">
        <v>45</v>
      </c>
    </row>
    <row r="245" spans="1:7" x14ac:dyDescent="0.25">
      <c r="A245">
        <v>1173</v>
      </c>
      <c r="B245">
        <v>2022</v>
      </c>
      <c r="C245" t="s">
        <v>548</v>
      </c>
      <c r="D245" t="s">
        <v>391</v>
      </c>
      <c r="E245" t="s">
        <v>905</v>
      </c>
      <c r="F245" t="s">
        <v>12</v>
      </c>
      <c r="G245" t="s">
        <v>32</v>
      </c>
    </row>
    <row r="246" spans="1:7" x14ac:dyDescent="0.25">
      <c r="A246">
        <v>1170</v>
      </c>
      <c r="B246">
        <v>2022</v>
      </c>
      <c r="C246" t="s">
        <v>548</v>
      </c>
      <c r="D246" t="s">
        <v>391</v>
      </c>
      <c r="E246" t="s">
        <v>901</v>
      </c>
      <c r="F246" t="s">
        <v>9</v>
      </c>
      <c r="G246" t="s">
        <v>18</v>
      </c>
    </row>
    <row r="247" spans="1:7" x14ac:dyDescent="0.25">
      <c r="A247">
        <v>1185</v>
      </c>
      <c r="B247">
        <v>2022</v>
      </c>
      <c r="C247" t="s">
        <v>548</v>
      </c>
      <c r="D247" t="s">
        <v>409</v>
      </c>
      <c r="E247" t="s">
        <v>906</v>
      </c>
      <c r="F247" t="s">
        <v>1837</v>
      </c>
      <c r="G247" t="s">
        <v>20</v>
      </c>
    </row>
    <row r="248" spans="1:7" x14ac:dyDescent="0.25">
      <c r="A248">
        <v>1192</v>
      </c>
      <c r="B248">
        <v>2022</v>
      </c>
      <c r="C248" t="s">
        <v>548</v>
      </c>
      <c r="D248" t="s">
        <v>409</v>
      </c>
      <c r="E248" t="s">
        <v>914</v>
      </c>
      <c r="F248" t="s">
        <v>1837</v>
      </c>
      <c r="G248" t="s">
        <v>52</v>
      </c>
    </row>
    <row r="249" spans="1:7" x14ac:dyDescent="0.25">
      <c r="A249">
        <v>1194</v>
      </c>
      <c r="B249">
        <v>2022</v>
      </c>
      <c r="C249" t="s">
        <v>548</v>
      </c>
      <c r="D249" t="s">
        <v>409</v>
      </c>
      <c r="E249" t="s">
        <v>916</v>
      </c>
      <c r="F249" t="s">
        <v>11</v>
      </c>
      <c r="G249" t="s">
        <v>1639</v>
      </c>
    </row>
    <row r="250" spans="1:7" x14ac:dyDescent="0.25">
      <c r="A250">
        <v>1187</v>
      </c>
      <c r="B250">
        <v>2022</v>
      </c>
      <c r="C250" t="s">
        <v>548</v>
      </c>
      <c r="D250" t="s">
        <v>409</v>
      </c>
      <c r="E250" t="s">
        <v>910</v>
      </c>
      <c r="F250" t="s">
        <v>11</v>
      </c>
      <c r="G250" t="s">
        <v>1639</v>
      </c>
    </row>
    <row r="251" spans="1:7" x14ac:dyDescent="0.25">
      <c r="A251">
        <v>1193</v>
      </c>
      <c r="B251">
        <v>2022</v>
      </c>
      <c r="C251" t="s">
        <v>548</v>
      </c>
      <c r="D251" t="s">
        <v>409</v>
      </c>
      <c r="E251" t="s">
        <v>915</v>
      </c>
      <c r="F251" t="s">
        <v>1837</v>
      </c>
      <c r="G251" t="s">
        <v>71</v>
      </c>
    </row>
    <row r="252" spans="1:7" x14ac:dyDescent="0.25">
      <c r="A252">
        <v>1190</v>
      </c>
      <c r="B252">
        <v>2022</v>
      </c>
      <c r="C252" t="s">
        <v>548</v>
      </c>
      <c r="D252" t="s">
        <v>409</v>
      </c>
      <c r="E252" t="s">
        <v>912</v>
      </c>
      <c r="F252" t="s">
        <v>12</v>
      </c>
      <c r="G252" t="s">
        <v>13</v>
      </c>
    </row>
    <row r="253" spans="1:7" x14ac:dyDescent="0.25">
      <c r="A253">
        <v>1189</v>
      </c>
      <c r="B253">
        <v>2022</v>
      </c>
      <c r="C253" t="s">
        <v>548</v>
      </c>
      <c r="D253" t="s">
        <v>409</v>
      </c>
      <c r="E253" t="s">
        <v>911</v>
      </c>
      <c r="F253" t="s">
        <v>11</v>
      </c>
      <c r="G253" t="s">
        <v>58</v>
      </c>
    </row>
    <row r="254" spans="1:7" x14ac:dyDescent="0.25">
      <c r="A254">
        <v>1188</v>
      </c>
      <c r="B254">
        <v>2022</v>
      </c>
      <c r="C254" t="s">
        <v>548</v>
      </c>
      <c r="D254" t="s">
        <v>409</v>
      </c>
      <c r="E254" t="s">
        <v>908</v>
      </c>
      <c r="F254" t="s">
        <v>42</v>
      </c>
      <c r="G254" t="s">
        <v>43</v>
      </c>
    </row>
    <row r="255" spans="1:7" x14ac:dyDescent="0.25">
      <c r="A255">
        <v>1186</v>
      </c>
      <c r="B255">
        <v>2022</v>
      </c>
      <c r="C255" t="s">
        <v>548</v>
      </c>
      <c r="D255" t="s">
        <v>409</v>
      </c>
      <c r="E255" t="s">
        <v>907</v>
      </c>
      <c r="F255" t="s">
        <v>11</v>
      </c>
      <c r="G255" t="s">
        <v>172</v>
      </c>
    </row>
    <row r="256" spans="1:7" x14ac:dyDescent="0.25">
      <c r="A256">
        <v>1191</v>
      </c>
      <c r="B256">
        <v>2022</v>
      </c>
      <c r="C256" t="s">
        <v>548</v>
      </c>
      <c r="D256" t="s">
        <v>409</v>
      </c>
      <c r="E256" t="s">
        <v>913</v>
      </c>
      <c r="F256" t="s">
        <v>9</v>
      </c>
      <c r="G256" t="s">
        <v>15</v>
      </c>
    </row>
    <row r="257" spans="1:7" x14ac:dyDescent="0.25">
      <c r="A257">
        <v>1212</v>
      </c>
      <c r="B257">
        <v>2022</v>
      </c>
      <c r="C257" t="s">
        <v>548</v>
      </c>
      <c r="D257" t="s">
        <v>423</v>
      </c>
      <c r="E257" t="s">
        <v>924</v>
      </c>
      <c r="F257" t="s">
        <v>1837</v>
      </c>
      <c r="G257" t="s">
        <v>20</v>
      </c>
    </row>
    <row r="258" spans="1:7" x14ac:dyDescent="0.25">
      <c r="A258">
        <v>1207</v>
      </c>
      <c r="B258">
        <v>2022</v>
      </c>
      <c r="C258" t="s">
        <v>548</v>
      </c>
      <c r="D258" t="s">
        <v>423</v>
      </c>
      <c r="E258" t="s">
        <v>919</v>
      </c>
      <c r="F258" t="s">
        <v>59</v>
      </c>
      <c r="G258" t="s">
        <v>293</v>
      </c>
    </row>
    <row r="259" spans="1:7" x14ac:dyDescent="0.25">
      <c r="A259">
        <v>1215</v>
      </c>
      <c r="B259">
        <v>2022</v>
      </c>
      <c r="C259" t="s">
        <v>548</v>
      </c>
      <c r="D259" t="s">
        <v>423</v>
      </c>
      <c r="E259" t="s">
        <v>928</v>
      </c>
      <c r="F259" t="s">
        <v>1837</v>
      </c>
      <c r="G259" t="s">
        <v>52</v>
      </c>
    </row>
    <row r="260" spans="1:7" x14ac:dyDescent="0.25">
      <c r="A260">
        <v>1210</v>
      </c>
      <c r="B260">
        <v>2022</v>
      </c>
      <c r="C260" t="s">
        <v>548</v>
      </c>
      <c r="D260" t="s">
        <v>423</v>
      </c>
      <c r="E260" t="s">
        <v>926</v>
      </c>
      <c r="F260" t="s">
        <v>9</v>
      </c>
      <c r="G260" t="s">
        <v>173</v>
      </c>
    </row>
    <row r="261" spans="1:7" x14ac:dyDescent="0.25">
      <c r="A261">
        <v>1206</v>
      </c>
      <c r="B261">
        <v>2022</v>
      </c>
      <c r="C261" t="s">
        <v>548</v>
      </c>
      <c r="D261" t="s">
        <v>423</v>
      </c>
      <c r="E261" t="s">
        <v>918</v>
      </c>
      <c r="F261" t="s">
        <v>9</v>
      </c>
      <c r="G261" t="s">
        <v>173</v>
      </c>
    </row>
    <row r="262" spans="1:7" x14ac:dyDescent="0.25">
      <c r="A262">
        <v>1209</v>
      </c>
      <c r="B262">
        <v>2022</v>
      </c>
      <c r="C262" t="s">
        <v>548</v>
      </c>
      <c r="D262" t="s">
        <v>423</v>
      </c>
      <c r="E262" t="s">
        <v>921</v>
      </c>
      <c r="F262" t="s">
        <v>12</v>
      </c>
      <c r="G262" t="s">
        <v>13</v>
      </c>
    </row>
    <row r="263" spans="1:7" x14ac:dyDescent="0.25">
      <c r="A263">
        <v>1208</v>
      </c>
      <c r="B263">
        <v>2022</v>
      </c>
      <c r="C263" t="s">
        <v>548</v>
      </c>
      <c r="D263" t="s">
        <v>423</v>
      </c>
      <c r="E263" t="s">
        <v>920</v>
      </c>
      <c r="F263" t="s">
        <v>9</v>
      </c>
      <c r="G263" t="s">
        <v>15</v>
      </c>
    </row>
    <row r="264" spans="1:7" x14ac:dyDescent="0.25">
      <c r="A264">
        <v>1213</v>
      </c>
      <c r="B264">
        <v>2022</v>
      </c>
      <c r="C264" t="s">
        <v>548</v>
      </c>
      <c r="D264" t="s">
        <v>423</v>
      </c>
      <c r="E264" t="s">
        <v>925</v>
      </c>
      <c r="F264" t="s">
        <v>12</v>
      </c>
      <c r="G264" t="s">
        <v>32</v>
      </c>
    </row>
    <row r="265" spans="1:7" x14ac:dyDescent="0.25">
      <c r="A265">
        <v>1205</v>
      </c>
      <c r="B265">
        <v>2022</v>
      </c>
      <c r="C265" t="s">
        <v>548</v>
      </c>
      <c r="D265" t="s">
        <v>423</v>
      </c>
      <c r="E265" t="s">
        <v>917</v>
      </c>
      <c r="F265" t="s">
        <v>12</v>
      </c>
      <c r="G265" t="s">
        <v>32</v>
      </c>
    </row>
    <row r="266" spans="1:7" x14ac:dyDescent="0.25">
      <c r="A266">
        <v>1214</v>
      </c>
      <c r="B266">
        <v>2022</v>
      </c>
      <c r="C266" t="s">
        <v>548</v>
      </c>
      <c r="D266" t="s">
        <v>423</v>
      </c>
      <c r="E266" t="s">
        <v>927</v>
      </c>
      <c r="F266" t="s">
        <v>1837</v>
      </c>
      <c r="G266" t="s">
        <v>22</v>
      </c>
    </row>
    <row r="267" spans="1:7" x14ac:dyDescent="0.25">
      <c r="A267">
        <v>1211</v>
      </c>
      <c r="B267">
        <v>2022</v>
      </c>
      <c r="C267" t="s">
        <v>548</v>
      </c>
      <c r="D267" t="s">
        <v>423</v>
      </c>
      <c r="E267" t="s">
        <v>923</v>
      </c>
      <c r="F267" t="s">
        <v>9</v>
      </c>
      <c r="G267" t="s">
        <v>18</v>
      </c>
    </row>
    <row r="268" spans="1:7" x14ac:dyDescent="0.25">
      <c r="A268">
        <v>1323</v>
      </c>
      <c r="B268">
        <v>2022</v>
      </c>
      <c r="C268" t="s">
        <v>548</v>
      </c>
      <c r="D268" t="s">
        <v>507</v>
      </c>
      <c r="E268" t="s">
        <v>982</v>
      </c>
      <c r="F268" t="s">
        <v>9</v>
      </c>
      <c r="G268" t="s">
        <v>145</v>
      </c>
    </row>
    <row r="269" spans="1:7" x14ac:dyDescent="0.25">
      <c r="A269">
        <v>1320</v>
      </c>
      <c r="B269">
        <v>2022</v>
      </c>
      <c r="C269" t="s">
        <v>548</v>
      </c>
      <c r="D269" t="s">
        <v>507</v>
      </c>
      <c r="E269" t="s">
        <v>960</v>
      </c>
      <c r="F269" t="s">
        <v>59</v>
      </c>
      <c r="G269" t="s">
        <v>293</v>
      </c>
    </row>
    <row r="270" spans="1:7" x14ac:dyDescent="0.25">
      <c r="A270">
        <v>1326</v>
      </c>
      <c r="B270">
        <v>2022</v>
      </c>
      <c r="C270" t="s">
        <v>548</v>
      </c>
      <c r="D270" t="s">
        <v>507</v>
      </c>
      <c r="E270" t="s">
        <v>964</v>
      </c>
      <c r="F270" t="s">
        <v>9</v>
      </c>
      <c r="G270" t="s">
        <v>10</v>
      </c>
    </row>
    <row r="271" spans="1:7" x14ac:dyDescent="0.25">
      <c r="A271">
        <v>1339</v>
      </c>
      <c r="B271">
        <v>2022</v>
      </c>
      <c r="C271" t="s">
        <v>548</v>
      </c>
      <c r="D271" t="s">
        <v>507</v>
      </c>
      <c r="E271" t="s">
        <v>1004</v>
      </c>
      <c r="F271" t="s">
        <v>1837</v>
      </c>
      <c r="G271" t="s">
        <v>52</v>
      </c>
    </row>
    <row r="272" spans="1:7" x14ac:dyDescent="0.25">
      <c r="A272">
        <v>1321</v>
      </c>
      <c r="B272">
        <v>2022</v>
      </c>
      <c r="C272" t="s">
        <v>548</v>
      </c>
      <c r="D272" t="s">
        <v>507</v>
      </c>
      <c r="E272" t="s">
        <v>961</v>
      </c>
      <c r="F272" t="s">
        <v>1837</v>
      </c>
      <c r="G272" t="s">
        <v>52</v>
      </c>
    </row>
    <row r="273" spans="1:7" x14ac:dyDescent="0.25">
      <c r="A273">
        <v>1325</v>
      </c>
      <c r="B273">
        <v>2022</v>
      </c>
      <c r="C273" t="s">
        <v>548</v>
      </c>
      <c r="D273" t="s">
        <v>507</v>
      </c>
      <c r="E273" t="s">
        <v>996</v>
      </c>
      <c r="F273" t="s">
        <v>9</v>
      </c>
      <c r="G273" t="s">
        <v>173</v>
      </c>
    </row>
    <row r="274" spans="1:7" x14ac:dyDescent="0.25">
      <c r="A274">
        <v>1334</v>
      </c>
      <c r="B274">
        <v>2022</v>
      </c>
      <c r="C274" t="s">
        <v>548</v>
      </c>
      <c r="D274" t="s">
        <v>507</v>
      </c>
      <c r="E274" t="s">
        <v>1001</v>
      </c>
      <c r="F274" t="s">
        <v>9</v>
      </c>
      <c r="G274" t="s">
        <v>26</v>
      </c>
    </row>
    <row r="275" spans="1:7" x14ac:dyDescent="0.25">
      <c r="A275">
        <v>1327</v>
      </c>
      <c r="B275">
        <v>2022</v>
      </c>
      <c r="C275" t="s">
        <v>548</v>
      </c>
      <c r="D275" t="s">
        <v>507</v>
      </c>
      <c r="E275" t="s">
        <v>965</v>
      </c>
      <c r="F275" t="s">
        <v>12</v>
      </c>
      <c r="G275" t="s">
        <v>13</v>
      </c>
    </row>
    <row r="276" spans="1:7" x14ac:dyDescent="0.25">
      <c r="A276">
        <v>1340</v>
      </c>
      <c r="B276">
        <v>2022</v>
      </c>
      <c r="C276" t="s">
        <v>548</v>
      </c>
      <c r="D276" t="s">
        <v>507</v>
      </c>
      <c r="E276" t="s">
        <v>1005</v>
      </c>
      <c r="F276" t="s">
        <v>1837</v>
      </c>
      <c r="G276" t="s">
        <v>70</v>
      </c>
    </row>
    <row r="277" spans="1:7" x14ac:dyDescent="0.25">
      <c r="A277">
        <v>1335</v>
      </c>
      <c r="B277">
        <v>2022</v>
      </c>
      <c r="C277" t="s">
        <v>548</v>
      </c>
      <c r="D277" t="s">
        <v>507</v>
      </c>
      <c r="E277" t="s">
        <v>1002</v>
      </c>
      <c r="F277" t="s">
        <v>1837</v>
      </c>
      <c r="G277" t="s">
        <v>70</v>
      </c>
    </row>
    <row r="278" spans="1:7" x14ac:dyDescent="0.25">
      <c r="A278">
        <v>1328</v>
      </c>
      <c r="B278">
        <v>2022</v>
      </c>
      <c r="C278" t="s">
        <v>548</v>
      </c>
      <c r="D278" t="s">
        <v>507</v>
      </c>
      <c r="E278" t="s">
        <v>997</v>
      </c>
      <c r="F278" t="s">
        <v>1837</v>
      </c>
      <c r="G278" t="s">
        <v>70</v>
      </c>
    </row>
    <row r="279" spans="1:7" x14ac:dyDescent="0.25">
      <c r="A279">
        <v>1330</v>
      </c>
      <c r="B279">
        <v>2022</v>
      </c>
      <c r="C279" t="s">
        <v>548</v>
      </c>
      <c r="D279" t="s">
        <v>507</v>
      </c>
      <c r="E279" t="s">
        <v>998</v>
      </c>
      <c r="F279" t="s">
        <v>11</v>
      </c>
      <c r="G279" t="s">
        <v>58</v>
      </c>
    </row>
    <row r="280" spans="1:7" x14ac:dyDescent="0.25">
      <c r="A280">
        <v>1332</v>
      </c>
      <c r="B280">
        <v>2022</v>
      </c>
      <c r="C280" t="s">
        <v>548</v>
      </c>
      <c r="D280" t="s">
        <v>507</v>
      </c>
      <c r="E280" t="s">
        <v>1000</v>
      </c>
      <c r="F280" t="s">
        <v>42</v>
      </c>
      <c r="G280" t="s">
        <v>43</v>
      </c>
    </row>
    <row r="281" spans="1:7" x14ac:dyDescent="0.25">
      <c r="A281">
        <v>1337</v>
      </c>
      <c r="B281">
        <v>2022</v>
      </c>
      <c r="C281" t="s">
        <v>548</v>
      </c>
      <c r="D281" t="s">
        <v>507</v>
      </c>
      <c r="E281" t="s">
        <v>1003</v>
      </c>
      <c r="F281" t="s">
        <v>1837</v>
      </c>
      <c r="G281" t="s">
        <v>107</v>
      </c>
    </row>
    <row r="282" spans="1:7" x14ac:dyDescent="0.25">
      <c r="A282">
        <v>1331</v>
      </c>
      <c r="B282">
        <v>2022</v>
      </c>
      <c r="C282" t="s">
        <v>548</v>
      </c>
      <c r="D282" t="s">
        <v>507</v>
      </c>
      <c r="E282" t="s">
        <v>999</v>
      </c>
      <c r="F282" t="s">
        <v>11</v>
      </c>
      <c r="G282" t="s">
        <v>172</v>
      </c>
    </row>
    <row r="283" spans="1:7" x14ac:dyDescent="0.25">
      <c r="A283">
        <v>1322</v>
      </c>
      <c r="B283">
        <v>2022</v>
      </c>
      <c r="C283" t="s">
        <v>548</v>
      </c>
      <c r="D283" t="s">
        <v>507</v>
      </c>
      <c r="E283" t="s">
        <v>981</v>
      </c>
      <c r="F283" t="s">
        <v>1837</v>
      </c>
      <c r="G283" t="s">
        <v>68</v>
      </c>
    </row>
    <row r="284" spans="1:7" x14ac:dyDescent="0.25">
      <c r="A284">
        <v>1324</v>
      </c>
      <c r="B284">
        <v>2022</v>
      </c>
      <c r="C284" t="s">
        <v>548</v>
      </c>
      <c r="D284" t="s">
        <v>507</v>
      </c>
      <c r="E284" t="s">
        <v>995</v>
      </c>
      <c r="F284" t="s">
        <v>9</v>
      </c>
      <c r="G284" t="s">
        <v>18</v>
      </c>
    </row>
    <row r="285" spans="1:7" x14ac:dyDescent="0.25">
      <c r="A285">
        <v>1230</v>
      </c>
      <c r="B285">
        <v>2022</v>
      </c>
      <c r="C285" t="s">
        <v>548</v>
      </c>
      <c r="D285" t="s">
        <v>441</v>
      </c>
      <c r="E285" t="s">
        <v>935</v>
      </c>
      <c r="F285" t="s">
        <v>9</v>
      </c>
      <c r="G285" t="s">
        <v>145</v>
      </c>
    </row>
    <row r="286" spans="1:7" x14ac:dyDescent="0.25">
      <c r="A286">
        <v>1226</v>
      </c>
      <c r="B286">
        <v>2022</v>
      </c>
      <c r="C286" t="s">
        <v>548</v>
      </c>
      <c r="D286" t="s">
        <v>441</v>
      </c>
      <c r="E286" t="s">
        <v>931</v>
      </c>
      <c r="F286" t="s">
        <v>11</v>
      </c>
      <c r="G286" t="s">
        <v>1639</v>
      </c>
    </row>
    <row r="287" spans="1:7" x14ac:dyDescent="0.25">
      <c r="A287">
        <v>1228</v>
      </c>
      <c r="B287">
        <v>2022</v>
      </c>
      <c r="C287" t="s">
        <v>548</v>
      </c>
      <c r="D287" t="s">
        <v>441</v>
      </c>
      <c r="E287" t="s">
        <v>933</v>
      </c>
      <c r="F287" t="s">
        <v>9</v>
      </c>
      <c r="G287" t="s">
        <v>26</v>
      </c>
    </row>
    <row r="288" spans="1:7" x14ac:dyDescent="0.25">
      <c r="A288">
        <v>1225</v>
      </c>
      <c r="B288">
        <v>2022</v>
      </c>
      <c r="C288" t="s">
        <v>548</v>
      </c>
      <c r="D288" t="s">
        <v>441</v>
      </c>
      <c r="E288" t="s">
        <v>930</v>
      </c>
      <c r="F288" t="s">
        <v>12</v>
      </c>
      <c r="G288" t="s">
        <v>714</v>
      </c>
    </row>
    <row r="289" spans="1:7" x14ac:dyDescent="0.25">
      <c r="A289">
        <v>1224</v>
      </c>
      <c r="B289">
        <v>2022</v>
      </c>
      <c r="C289" t="s">
        <v>548</v>
      </c>
      <c r="D289" t="s">
        <v>441</v>
      </c>
      <c r="E289" t="s">
        <v>929</v>
      </c>
      <c r="F289" t="s">
        <v>11</v>
      </c>
      <c r="G289" t="s">
        <v>45</v>
      </c>
    </row>
    <row r="290" spans="1:7" x14ac:dyDescent="0.25">
      <c r="A290">
        <v>1231</v>
      </c>
      <c r="B290">
        <v>2022</v>
      </c>
      <c r="C290" t="s">
        <v>548</v>
      </c>
      <c r="D290" t="s">
        <v>441</v>
      </c>
      <c r="E290" t="s">
        <v>936</v>
      </c>
      <c r="F290" t="s">
        <v>12</v>
      </c>
      <c r="G290" t="s">
        <v>32</v>
      </c>
    </row>
    <row r="291" spans="1:7" x14ac:dyDescent="0.25">
      <c r="A291">
        <v>1229</v>
      </c>
      <c r="B291">
        <v>2022</v>
      </c>
      <c r="C291" t="s">
        <v>548</v>
      </c>
      <c r="D291" t="s">
        <v>441</v>
      </c>
      <c r="E291" t="s">
        <v>934</v>
      </c>
      <c r="F291" t="s">
        <v>12</v>
      </c>
      <c r="G291" t="s">
        <v>32</v>
      </c>
    </row>
    <row r="292" spans="1:7" x14ac:dyDescent="0.25">
      <c r="A292">
        <v>1227</v>
      </c>
      <c r="B292">
        <v>2022</v>
      </c>
      <c r="C292" t="s">
        <v>548</v>
      </c>
      <c r="D292" t="s">
        <v>441</v>
      </c>
      <c r="E292" t="s">
        <v>932</v>
      </c>
      <c r="F292" t="s">
        <v>9</v>
      </c>
      <c r="G292" t="s">
        <v>18</v>
      </c>
    </row>
    <row r="293" spans="1:7" x14ac:dyDescent="0.25">
      <c r="A293">
        <v>1258</v>
      </c>
      <c r="B293">
        <v>2022</v>
      </c>
      <c r="C293" t="s">
        <v>548</v>
      </c>
      <c r="D293" t="s">
        <v>455</v>
      </c>
      <c r="E293" t="s">
        <v>959</v>
      </c>
      <c r="F293" t="s">
        <v>9</v>
      </c>
      <c r="G293" t="s">
        <v>145</v>
      </c>
    </row>
    <row r="294" spans="1:7" x14ac:dyDescent="0.25">
      <c r="A294">
        <v>1252</v>
      </c>
      <c r="B294">
        <v>2022</v>
      </c>
      <c r="C294" t="s">
        <v>548</v>
      </c>
      <c r="D294" t="s">
        <v>455</v>
      </c>
      <c r="E294" t="s">
        <v>955</v>
      </c>
      <c r="F294" t="s">
        <v>1837</v>
      </c>
      <c r="G294" t="s">
        <v>52</v>
      </c>
    </row>
    <row r="295" spans="1:7" x14ac:dyDescent="0.25">
      <c r="A295">
        <v>1256</v>
      </c>
      <c r="B295">
        <v>2022</v>
      </c>
      <c r="C295" t="s">
        <v>548</v>
      </c>
      <c r="D295" t="s">
        <v>455</v>
      </c>
      <c r="E295" t="s">
        <v>958</v>
      </c>
      <c r="F295" t="s">
        <v>9</v>
      </c>
      <c r="G295" t="s">
        <v>26</v>
      </c>
    </row>
    <row r="296" spans="1:7" x14ac:dyDescent="0.25">
      <c r="A296">
        <v>1247</v>
      </c>
      <c r="B296">
        <v>2022</v>
      </c>
      <c r="C296" t="s">
        <v>548</v>
      </c>
      <c r="D296" t="s">
        <v>455</v>
      </c>
      <c r="E296" t="s">
        <v>951</v>
      </c>
      <c r="F296" t="s">
        <v>12</v>
      </c>
      <c r="G296" t="s">
        <v>1573</v>
      </c>
    </row>
    <row r="297" spans="1:7" x14ac:dyDescent="0.25">
      <c r="A297">
        <v>1255</v>
      </c>
      <c r="B297">
        <v>2022</v>
      </c>
      <c r="C297" t="s">
        <v>548</v>
      </c>
      <c r="D297" t="s">
        <v>455</v>
      </c>
      <c r="E297" t="s">
        <v>957</v>
      </c>
      <c r="F297" t="s">
        <v>11</v>
      </c>
      <c r="G297" t="s">
        <v>58</v>
      </c>
    </row>
    <row r="298" spans="1:7" x14ac:dyDescent="0.25">
      <c r="A298">
        <v>1248</v>
      </c>
      <c r="B298">
        <v>2022</v>
      </c>
      <c r="C298" t="s">
        <v>548</v>
      </c>
      <c r="D298" t="s">
        <v>455</v>
      </c>
      <c r="E298" t="s">
        <v>952</v>
      </c>
      <c r="F298" t="s">
        <v>12</v>
      </c>
      <c r="G298" t="s">
        <v>35</v>
      </c>
    </row>
    <row r="299" spans="1:7" x14ac:dyDescent="0.25">
      <c r="A299">
        <v>1253</v>
      </c>
      <c r="B299">
        <v>2022</v>
      </c>
      <c r="C299" t="s">
        <v>548</v>
      </c>
      <c r="D299" t="s">
        <v>455</v>
      </c>
      <c r="E299" t="s">
        <v>956</v>
      </c>
      <c r="F299" t="s">
        <v>1837</v>
      </c>
      <c r="G299" t="s">
        <v>68</v>
      </c>
    </row>
    <row r="300" spans="1:7" x14ac:dyDescent="0.25">
      <c r="A300">
        <v>1251</v>
      </c>
      <c r="B300">
        <v>2022</v>
      </c>
      <c r="C300" t="s">
        <v>548</v>
      </c>
      <c r="D300" t="s">
        <v>455</v>
      </c>
      <c r="E300" t="s">
        <v>954</v>
      </c>
      <c r="F300" t="s">
        <v>12</v>
      </c>
      <c r="G300" t="s">
        <v>32</v>
      </c>
    </row>
    <row r="301" spans="1:7" x14ac:dyDescent="0.25">
      <c r="A301">
        <v>1249</v>
      </c>
      <c r="B301">
        <v>2022</v>
      </c>
      <c r="C301" t="s">
        <v>548</v>
      </c>
      <c r="D301" t="s">
        <v>455</v>
      </c>
      <c r="E301" t="s">
        <v>953</v>
      </c>
      <c r="F301" t="s">
        <v>9</v>
      </c>
      <c r="G301" t="s">
        <v>18</v>
      </c>
    </row>
    <row r="302" spans="1:7" x14ac:dyDescent="0.25">
      <c r="A302">
        <v>1286</v>
      </c>
      <c r="B302">
        <v>2022</v>
      </c>
      <c r="C302" t="s">
        <v>548</v>
      </c>
      <c r="D302" t="s">
        <v>481</v>
      </c>
      <c r="E302" t="s">
        <v>965</v>
      </c>
      <c r="F302" t="s">
        <v>59</v>
      </c>
      <c r="G302" t="s">
        <v>293</v>
      </c>
    </row>
    <row r="303" spans="1:7" x14ac:dyDescent="0.25">
      <c r="A303">
        <v>1279</v>
      </c>
      <c r="B303">
        <v>2022</v>
      </c>
      <c r="C303" t="s">
        <v>548</v>
      </c>
      <c r="D303" t="s">
        <v>481</v>
      </c>
      <c r="E303" t="s">
        <v>960</v>
      </c>
      <c r="F303" t="s">
        <v>59</v>
      </c>
      <c r="G303" t="s">
        <v>293</v>
      </c>
    </row>
    <row r="304" spans="1:7" x14ac:dyDescent="0.25">
      <c r="A304">
        <v>1297</v>
      </c>
      <c r="B304">
        <v>2022</v>
      </c>
      <c r="C304" t="s">
        <v>548</v>
      </c>
      <c r="D304" t="s">
        <v>481</v>
      </c>
      <c r="E304" t="s">
        <v>976</v>
      </c>
      <c r="F304" t="s">
        <v>9</v>
      </c>
      <c r="G304" t="s">
        <v>10</v>
      </c>
    </row>
    <row r="305" spans="1:7" x14ac:dyDescent="0.25">
      <c r="A305">
        <v>1289</v>
      </c>
      <c r="B305">
        <v>2022</v>
      </c>
      <c r="C305" t="s">
        <v>548</v>
      </c>
      <c r="D305" t="s">
        <v>481</v>
      </c>
      <c r="E305" t="s">
        <v>968</v>
      </c>
      <c r="F305" t="s">
        <v>9</v>
      </c>
      <c r="G305" t="s">
        <v>10</v>
      </c>
    </row>
    <row r="306" spans="1:7" x14ac:dyDescent="0.25">
      <c r="A306">
        <v>1285</v>
      </c>
      <c r="B306">
        <v>2022</v>
      </c>
      <c r="C306" t="s">
        <v>548</v>
      </c>
      <c r="D306" t="s">
        <v>481</v>
      </c>
      <c r="E306" t="s">
        <v>964</v>
      </c>
      <c r="F306" t="s">
        <v>9</v>
      </c>
      <c r="G306" t="s">
        <v>10</v>
      </c>
    </row>
    <row r="307" spans="1:7" x14ac:dyDescent="0.25">
      <c r="A307">
        <v>1284</v>
      </c>
      <c r="B307">
        <v>2022</v>
      </c>
      <c r="C307" t="s">
        <v>548</v>
      </c>
      <c r="D307" t="s">
        <v>481</v>
      </c>
      <c r="E307" t="s">
        <v>963</v>
      </c>
      <c r="F307" t="s">
        <v>9</v>
      </c>
      <c r="G307" t="s">
        <v>10</v>
      </c>
    </row>
    <row r="308" spans="1:7" x14ac:dyDescent="0.25">
      <c r="A308">
        <v>1290</v>
      </c>
      <c r="B308">
        <v>2022</v>
      </c>
      <c r="C308" t="s">
        <v>548</v>
      </c>
      <c r="D308" t="s">
        <v>481</v>
      </c>
      <c r="E308" t="s">
        <v>969</v>
      </c>
      <c r="F308" t="s">
        <v>1837</v>
      </c>
      <c r="G308" t="s">
        <v>52</v>
      </c>
    </row>
    <row r="309" spans="1:7" x14ac:dyDescent="0.25">
      <c r="A309">
        <v>1280</v>
      </c>
      <c r="B309">
        <v>2022</v>
      </c>
      <c r="C309" t="s">
        <v>548</v>
      </c>
      <c r="D309" t="s">
        <v>481</v>
      </c>
      <c r="E309" t="s">
        <v>961</v>
      </c>
      <c r="F309" t="s">
        <v>1837</v>
      </c>
      <c r="G309" t="s">
        <v>52</v>
      </c>
    </row>
    <row r="310" spans="1:7" x14ac:dyDescent="0.25">
      <c r="A310">
        <v>1298</v>
      </c>
      <c r="B310">
        <v>2022</v>
      </c>
      <c r="C310" t="s">
        <v>548</v>
      </c>
      <c r="D310" t="s">
        <v>481</v>
      </c>
      <c r="E310" t="s">
        <v>977</v>
      </c>
      <c r="F310" t="s">
        <v>9</v>
      </c>
      <c r="G310" t="s">
        <v>173</v>
      </c>
    </row>
    <row r="311" spans="1:7" x14ac:dyDescent="0.25">
      <c r="A311">
        <v>1281</v>
      </c>
      <c r="B311">
        <v>2022</v>
      </c>
      <c r="C311" t="s">
        <v>548</v>
      </c>
      <c r="D311" t="s">
        <v>481</v>
      </c>
      <c r="E311" t="s">
        <v>978</v>
      </c>
      <c r="F311" t="s">
        <v>9</v>
      </c>
      <c r="G311" t="s">
        <v>173</v>
      </c>
    </row>
    <row r="312" spans="1:7" x14ac:dyDescent="0.25">
      <c r="A312">
        <v>1291</v>
      </c>
      <c r="B312">
        <v>2022</v>
      </c>
      <c r="C312" t="s">
        <v>548</v>
      </c>
      <c r="D312" t="s">
        <v>481</v>
      </c>
      <c r="E312" t="s">
        <v>970</v>
      </c>
      <c r="F312" t="s">
        <v>12</v>
      </c>
      <c r="G312" t="s">
        <v>714</v>
      </c>
    </row>
    <row r="313" spans="1:7" x14ac:dyDescent="0.25">
      <c r="A313">
        <v>1294</v>
      </c>
      <c r="B313">
        <v>2022</v>
      </c>
      <c r="C313" t="s">
        <v>548</v>
      </c>
      <c r="D313" t="s">
        <v>481</v>
      </c>
      <c r="E313" t="s">
        <v>973</v>
      </c>
      <c r="F313" t="s">
        <v>16</v>
      </c>
      <c r="G313" t="s">
        <v>144</v>
      </c>
    </row>
    <row r="314" spans="1:7" x14ac:dyDescent="0.25">
      <c r="A314">
        <v>1292</v>
      </c>
      <c r="B314">
        <v>2022</v>
      </c>
      <c r="C314" t="s">
        <v>548</v>
      </c>
      <c r="D314" t="s">
        <v>481</v>
      </c>
      <c r="E314" t="s">
        <v>971</v>
      </c>
      <c r="F314" t="s">
        <v>1837</v>
      </c>
      <c r="G314" t="s">
        <v>70</v>
      </c>
    </row>
    <row r="315" spans="1:7" x14ac:dyDescent="0.25">
      <c r="A315">
        <v>1293</v>
      </c>
      <c r="B315">
        <v>2022</v>
      </c>
      <c r="C315" t="s">
        <v>548</v>
      </c>
      <c r="D315" t="s">
        <v>481</v>
      </c>
      <c r="E315" t="s">
        <v>972</v>
      </c>
      <c r="F315" t="s">
        <v>11</v>
      </c>
      <c r="G315" t="s">
        <v>58</v>
      </c>
    </row>
    <row r="316" spans="1:7" x14ac:dyDescent="0.25">
      <c r="A316">
        <v>1288</v>
      </c>
      <c r="B316">
        <v>2022</v>
      </c>
      <c r="C316" t="s">
        <v>548</v>
      </c>
      <c r="D316" t="s">
        <v>481</v>
      </c>
      <c r="E316" t="s">
        <v>967</v>
      </c>
      <c r="F316" t="s">
        <v>9</v>
      </c>
      <c r="G316" t="s">
        <v>15</v>
      </c>
    </row>
    <row r="317" spans="1:7" x14ac:dyDescent="0.25">
      <c r="A317">
        <v>1295</v>
      </c>
      <c r="B317">
        <v>2022</v>
      </c>
      <c r="C317" t="s">
        <v>548</v>
      </c>
      <c r="D317" t="s">
        <v>481</v>
      </c>
      <c r="E317" t="s">
        <v>974</v>
      </c>
      <c r="F317" t="s">
        <v>1837</v>
      </c>
      <c r="G317" t="s">
        <v>68</v>
      </c>
    </row>
    <row r="318" spans="1:7" x14ac:dyDescent="0.25">
      <c r="A318">
        <v>1287</v>
      </c>
      <c r="B318">
        <v>2022</v>
      </c>
      <c r="C318" t="s">
        <v>548</v>
      </c>
      <c r="D318" t="s">
        <v>481</v>
      </c>
      <c r="E318" t="s">
        <v>966</v>
      </c>
      <c r="F318" t="s">
        <v>1837</v>
      </c>
      <c r="G318" t="s">
        <v>68</v>
      </c>
    </row>
    <row r="319" spans="1:7" x14ac:dyDescent="0.25">
      <c r="A319">
        <v>1296</v>
      </c>
      <c r="B319">
        <v>2022</v>
      </c>
      <c r="C319" t="s">
        <v>548</v>
      </c>
      <c r="D319" t="s">
        <v>481</v>
      </c>
      <c r="E319" t="s">
        <v>975</v>
      </c>
      <c r="F319" t="s">
        <v>9</v>
      </c>
      <c r="G319" t="s">
        <v>33</v>
      </c>
    </row>
    <row r="320" spans="1:7" x14ac:dyDescent="0.25">
      <c r="A320">
        <v>1283</v>
      </c>
      <c r="B320">
        <v>2022</v>
      </c>
      <c r="C320" t="s">
        <v>548</v>
      </c>
      <c r="D320" t="s">
        <v>481</v>
      </c>
      <c r="E320" t="s">
        <v>962</v>
      </c>
      <c r="F320" t="s">
        <v>1837</v>
      </c>
      <c r="G320" t="s">
        <v>22</v>
      </c>
    </row>
    <row r="321" spans="1:7" x14ac:dyDescent="0.25">
      <c r="A321">
        <v>1299</v>
      </c>
      <c r="B321">
        <v>2022</v>
      </c>
      <c r="C321" t="s">
        <v>548</v>
      </c>
      <c r="D321" t="s">
        <v>481</v>
      </c>
      <c r="E321" t="s">
        <v>980</v>
      </c>
      <c r="F321" t="s">
        <v>9</v>
      </c>
      <c r="G321" t="s">
        <v>18</v>
      </c>
    </row>
    <row r="322" spans="1:7" x14ac:dyDescent="0.25">
      <c r="A322">
        <v>1282</v>
      </c>
      <c r="B322">
        <v>2022</v>
      </c>
      <c r="C322" t="s">
        <v>548</v>
      </c>
      <c r="D322" t="s">
        <v>481</v>
      </c>
      <c r="E322" t="s">
        <v>979</v>
      </c>
      <c r="F322" t="s">
        <v>9</v>
      </c>
      <c r="G322" t="s">
        <v>18</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4"/>
  <sheetViews>
    <sheetView topLeftCell="A2" zoomScale="80" zoomScaleNormal="80" workbookViewId="0">
      <selection activeCell="F2" sqref="F2"/>
    </sheetView>
  </sheetViews>
  <sheetFormatPr baseColWidth="10" defaultColWidth="11.42578125" defaultRowHeight="15" x14ac:dyDescent="0.25"/>
  <cols>
    <col min="1" max="1" width="23.7109375" style="28" customWidth="1"/>
    <col min="2" max="2" width="26.5703125" style="8" customWidth="1"/>
    <col min="3" max="3" width="36.85546875" style="29" customWidth="1"/>
    <col min="4" max="4" width="20" style="29" customWidth="1"/>
    <col min="5" max="5" width="46.42578125" style="30" customWidth="1"/>
    <col min="6" max="6" width="19.140625" style="29" customWidth="1"/>
    <col min="7" max="7" width="42.42578125" style="31" customWidth="1"/>
    <col min="8" max="16384" width="11.42578125" style="1"/>
  </cols>
  <sheetData>
    <row r="1" spans="1:7" s="8" customFormat="1" ht="31.5" x14ac:dyDescent="0.25">
      <c r="A1" s="207" t="s">
        <v>1524</v>
      </c>
      <c r="B1" s="207"/>
      <c r="C1" s="5" t="s">
        <v>1525</v>
      </c>
      <c r="D1" s="6" t="s">
        <v>1526</v>
      </c>
      <c r="E1" s="7" t="s">
        <v>1527</v>
      </c>
      <c r="F1" s="6" t="s">
        <v>1528</v>
      </c>
      <c r="G1" s="7" t="s">
        <v>1527</v>
      </c>
    </row>
    <row r="2" spans="1:7" ht="195" customHeight="1" x14ac:dyDescent="0.25">
      <c r="A2" s="87" t="s">
        <v>9</v>
      </c>
      <c r="B2" s="10" t="s">
        <v>10</v>
      </c>
      <c r="C2" s="11" t="s">
        <v>1529</v>
      </c>
      <c r="D2" s="12" t="e">
        <f>+GETPIVOTDATA("SUBCLASIFICACION",'T.D. DEBLD'!$A$3,"CLASIFICACION","TALENTO HUMANO ","SUBCLASIFICACION","COMPETENCIA")</f>
        <v>#REF!</v>
      </c>
      <c r="E2" s="32" t="s">
        <v>1729</v>
      </c>
      <c r="F2" s="14">
        <f>+GETPIVOTDATA("SUBCLASIFICACION",'T.D. FORTLZ'!$A$3,"CLASIFICACION","TALENTO HUMANO ","SUBCLASIFICACION","COMPETENCIA")</f>
        <v>29</v>
      </c>
      <c r="G2" s="15" t="s">
        <v>1730</v>
      </c>
    </row>
    <row r="3" spans="1:7" ht="195" customHeight="1" x14ac:dyDescent="0.25">
      <c r="A3" s="88"/>
      <c r="B3" s="10" t="s">
        <v>26</v>
      </c>
      <c r="C3" s="14" t="s">
        <v>1532</v>
      </c>
      <c r="D3" s="12"/>
      <c r="E3" s="32"/>
      <c r="F3" s="14"/>
      <c r="G3" s="15"/>
    </row>
    <row r="4" spans="1:7" ht="195" customHeight="1" x14ac:dyDescent="0.25">
      <c r="A4" s="88"/>
      <c r="B4" s="10" t="s">
        <v>173</v>
      </c>
      <c r="C4" s="11" t="s">
        <v>1535</v>
      </c>
      <c r="D4" s="12"/>
      <c r="E4" s="32"/>
      <c r="F4" s="14"/>
      <c r="G4" s="15"/>
    </row>
    <row r="5" spans="1:7" ht="126" customHeight="1" x14ac:dyDescent="0.25">
      <c r="A5" s="88"/>
      <c r="B5" s="10" t="s">
        <v>1538</v>
      </c>
      <c r="C5" s="14" t="s">
        <v>1539</v>
      </c>
      <c r="D5" s="12" t="e">
        <f>+GETPIVOTDATA("SUBCLASIFICACION",'T.D. DEBLD'!$A$3,"CLASIFICACION","TALENTO HUMANO ","SUBCLASIFICACION","ROLES Y RESPONSABILIDADES")</f>
        <v>#REF!</v>
      </c>
      <c r="E5" s="32" t="s">
        <v>1731</v>
      </c>
      <c r="F5" s="14">
        <f>+GETPIVOTDATA("SUBCLASIFICACION",'T.D. FORTLZ'!$A$3,"CLASIFICACION","TALENTO HUMANO ","SUBCLASIFICACION","ROLES Y RESPONSABILIDADES")</f>
        <v>18</v>
      </c>
      <c r="G5" s="15" t="s">
        <v>1732</v>
      </c>
    </row>
    <row r="6" spans="1:7" ht="179.25" customHeight="1" x14ac:dyDescent="0.25">
      <c r="A6" s="88"/>
      <c r="B6" s="10" t="s">
        <v>18</v>
      </c>
      <c r="C6" s="11" t="s">
        <v>1541</v>
      </c>
      <c r="D6" s="12" t="e">
        <f>+GETPIVOTDATA("SUBCLASIFICACION",'T.D. DEBLD'!$A$3,"CLASIFICACION","TALENTO HUMANO ","SUBCLASIFICACION","TOMA DE CONCIENCIA ")</f>
        <v>#REF!</v>
      </c>
      <c r="E6" s="32" t="s">
        <v>1733</v>
      </c>
      <c r="F6" s="14">
        <f>+GETPIVOTDATA("SUBCLASIFICACION",'T.D. FORTLZ'!$A$3,"CLASIFICACION","TALENTO HUMANO ","SUBCLASIFICACION","TOMA DE CONCIENCIA ")</f>
        <v>20</v>
      </c>
      <c r="G6" s="15" t="s">
        <v>1734</v>
      </c>
    </row>
    <row r="7" spans="1:7" ht="342.75" customHeight="1" x14ac:dyDescent="0.25">
      <c r="A7" s="88"/>
      <c r="B7" s="10" t="s">
        <v>41</v>
      </c>
      <c r="C7" s="14" t="s">
        <v>1544</v>
      </c>
      <c r="D7" s="12" t="e">
        <f>+GETPIVOTDATA("SUBCLASIFICACION",'T.D. DEBLD'!$A$3,"CLASIFICACION","TALENTO HUMANO ","SUBCLASIFICACION","CONTINUIDAD")</f>
        <v>#REF!</v>
      </c>
      <c r="E7" s="32" t="s">
        <v>1735</v>
      </c>
      <c r="F7" s="14">
        <f>+GETPIVOTDATA("SUBCLASIFICACION",'T.D. FORTLZ'!$A$3,"CLASIFICACION","TALENTO HUMANO ","SUBCLASIFICACION","CONTINUIDAD")</f>
        <v>2</v>
      </c>
      <c r="G7" s="17" t="s">
        <v>1736</v>
      </c>
    </row>
    <row r="8" spans="1:7" ht="69.75" customHeight="1" x14ac:dyDescent="0.25">
      <c r="A8" s="88"/>
      <c r="B8" s="10" t="s">
        <v>145</v>
      </c>
      <c r="C8" s="14" t="s">
        <v>1546</v>
      </c>
      <c r="D8" s="12"/>
      <c r="E8" s="12"/>
      <c r="F8" s="12"/>
      <c r="G8" s="15"/>
    </row>
    <row r="9" spans="1:7" ht="180.75" customHeight="1" x14ac:dyDescent="0.25">
      <c r="A9" s="89"/>
      <c r="B9" s="10" t="s">
        <v>33</v>
      </c>
      <c r="C9" s="11" t="s">
        <v>1548</v>
      </c>
      <c r="D9" s="12" t="e">
        <f>+GETPIVOTDATA("SUBCLASIFICACION",'T.D. DEBLD'!$A$3,"CLASIFICACION","TALENTO HUMANO ","SUBCLASIFICACION","SUFICIENCIA")</f>
        <v>#REF!</v>
      </c>
      <c r="E9" s="32" t="s">
        <v>1737</v>
      </c>
      <c r="F9" s="14">
        <f>+GETPIVOTDATA("SUBCLASIFICACION",'T.D. FORTLZ'!$A$3,"CLASIFICACION","TALENTO HUMANO ","SUBCLASIFICACION","SUFICIENCIA")</f>
        <v>7</v>
      </c>
      <c r="G9" s="15" t="s">
        <v>1738</v>
      </c>
    </row>
    <row r="10" spans="1:7" ht="125.25" customHeight="1" x14ac:dyDescent="0.25">
      <c r="A10" s="9" t="s">
        <v>1551</v>
      </c>
      <c r="B10" s="10" t="s">
        <v>40</v>
      </c>
      <c r="C10" s="14" t="s">
        <v>1552</v>
      </c>
      <c r="D10" s="12" t="e">
        <f>+GETPIVOTDATA("SUBCLASIFICACION",'T.D. DEBLD'!$A$3,"CLASIFICACION","EQUIPO, TECNOLOGÍA E INFRAESTRUCTURA","SUBCLASIFICACION","HERRAMIENTAS")</f>
        <v>#REF!</v>
      </c>
      <c r="E10" s="32" t="s">
        <v>1739</v>
      </c>
      <c r="F10" s="12">
        <f>+GETPIVOTDATA("SUBCLASIFICACION",'T.D. FORTLZ'!$A$3,"CLASIFICACION","EQUIPO, TECNOLOGÍA E INFRAESTRUCTURA","SUBCLASIFICACION","HERRAMIENTAS ")</f>
        <v>9</v>
      </c>
      <c r="G10" s="15" t="s">
        <v>1740</v>
      </c>
    </row>
    <row r="11" spans="1:7" ht="47.25" customHeight="1" x14ac:dyDescent="0.25">
      <c r="A11" s="16"/>
      <c r="B11" s="10" t="s">
        <v>1555</v>
      </c>
      <c r="C11" s="14" t="s">
        <v>1556</v>
      </c>
      <c r="D11" s="12" t="e">
        <f>+GETPIVOTDATA("SUBCLASIFICACION",'T.D. DEBLD'!$A$3,"CLASIFICACION","EQUIPO, TECNOLOGÍA E INFRAESTRUCTURA","SUBCLASIFICACION","UBICACIÓN Y ACCESO")</f>
        <v>#REF!</v>
      </c>
      <c r="E11" s="32" t="s">
        <v>1741</v>
      </c>
      <c r="F11" s="12">
        <f>+GETPIVOTDATA("SUBCLASIFICACION",'T.D. FORTLZ'!$A$3,"CLASIFICACION","EQUIPO, TECNOLOGÍA E INFRAESTRUCTURA","SUBCLASIFICACION","UBICACIÓN Y ACCESO")</f>
        <v>2</v>
      </c>
      <c r="G11" s="17" t="s">
        <v>1742</v>
      </c>
    </row>
    <row r="12" spans="1:7" ht="218.25" customHeight="1" x14ac:dyDescent="0.25">
      <c r="A12" s="16"/>
      <c r="B12" s="10" t="s">
        <v>13</v>
      </c>
      <c r="C12" s="14" t="s">
        <v>1558</v>
      </c>
      <c r="D12" s="12" t="e">
        <f>+GETPIVOTDATA("SUBCLASIFICACION",'T.D. DEBLD'!$A$3,"CLASIFICACION","EQUIPO, TECNOLOGÍA E INFRAESTRUCTURA","SUBCLASIFICACION","INSTALACIONES")</f>
        <v>#REF!</v>
      </c>
      <c r="E12" s="32" t="s">
        <v>1743</v>
      </c>
      <c r="F12" s="12">
        <f>+GETPIVOTDATA("SUBCLASIFICACION",'T.D. FORTLZ'!$A$3,"CLASIFICACION","EQUIPO, TECNOLOGÍA E INFRAESTRUCTURA","SUBCLASIFICACION","INSTALACIONES")</f>
        <v>10</v>
      </c>
      <c r="G12" s="15" t="s">
        <v>1744</v>
      </c>
    </row>
    <row r="13" spans="1:7" ht="61.5" customHeight="1" x14ac:dyDescent="0.25">
      <c r="A13" s="16"/>
      <c r="B13" s="10" t="s">
        <v>1561</v>
      </c>
      <c r="C13" s="14" t="s">
        <v>1562</v>
      </c>
      <c r="D13" s="12" t="e">
        <f>+GETPIVOTDATA("SUBCLASIFICACION",'T.D. DEBLD'!$A$3,"CLASIFICACION","EQUIPO, TECNOLOGÍA E INFRAESTRUCTURA","SUBCLASIFICACION","REDES")</f>
        <v>#REF!</v>
      </c>
      <c r="E13" s="13" t="s">
        <v>1745</v>
      </c>
      <c r="F13" s="12">
        <f>+GETPIVOTDATA("SUBCLASIFICACION",'T.D. FORTLZ'!$A$3,"CLASIFICACION","EQUIPO, TECNOLOGÍA E INFRAESTRUCTURA","SUBCLASIFICACION","REDES")</f>
        <v>1</v>
      </c>
      <c r="G13" s="15" t="s">
        <v>1746</v>
      </c>
    </row>
    <row r="14" spans="1:7" ht="78" hidden="1" customHeight="1" x14ac:dyDescent="0.25">
      <c r="A14" s="16" t="s">
        <v>1747</v>
      </c>
      <c r="B14" s="6" t="s">
        <v>1563</v>
      </c>
      <c r="C14" s="14" t="s">
        <v>1564</v>
      </c>
      <c r="D14" s="12" t="e">
        <f>+GETPIVOTDATA("SUBCLASIFICACION",'T.D. DEBLD'!$A$3,"CLASIFICACION","EQUIPO, TECNOLOGÍA E INFRAESTRUCTURA","SUBCLASIFICACION","PLATAFORMAS WEB ")</f>
        <v>#REF!</v>
      </c>
      <c r="E14" s="18" t="s">
        <v>1736</v>
      </c>
      <c r="F14" s="12" t="e">
        <f>+GETPIVOTDATA("SUBCLASIFICACION",'T.D. FORTLZ'!$A$3,"CLASIFICACION","EQUIPO, TECNOLOGÍA E INFRAESTRUCTURA","SUBCLASIFICACION","PLATAFORMAS WEB")</f>
        <v>#REF!</v>
      </c>
      <c r="G14" s="15" t="s">
        <v>1565</v>
      </c>
    </row>
    <row r="15" spans="1:7" ht="75.75" customHeight="1" x14ac:dyDescent="0.25">
      <c r="A15" s="16"/>
      <c r="B15" s="10" t="s">
        <v>1566</v>
      </c>
      <c r="C15" s="14" t="s">
        <v>1567</v>
      </c>
      <c r="D15" s="12" t="e">
        <f>+GETPIVOTDATA("SUBCLASIFICACION",'T.D. DEBLD'!$A$3,"CLASIFICACION","EQUIPO, TECNOLOGÍA E INFRAESTRUCTURA","SUBCLASIFICACION","MEDIOS DE TRANSPORTE")</f>
        <v>#REF!</v>
      </c>
      <c r="E15" s="13" t="s">
        <v>1748</v>
      </c>
      <c r="F15" s="12">
        <v>0</v>
      </c>
      <c r="G15" s="12">
        <v>0</v>
      </c>
    </row>
    <row r="16" spans="1:7" ht="105" customHeight="1" x14ac:dyDescent="0.25">
      <c r="A16" s="16"/>
      <c r="B16" s="10" t="s">
        <v>32</v>
      </c>
      <c r="C16" s="14" t="s">
        <v>1568</v>
      </c>
      <c r="D16" s="12" t="e">
        <f>+GETPIVOTDATA("SUBCLASIFICACION",'T.D. DEBLD'!$A$3,"CLASIFICACION","EQUIPO, TECNOLOGÍA E INFRAESTRUCTURA","SUBCLASIFICACION","SOFTWARE")</f>
        <v>#REF!</v>
      </c>
      <c r="E16" s="13" t="s">
        <v>1749</v>
      </c>
      <c r="F16" s="12" t="e">
        <f>+GETPIVOTDATA("SUBCLASIFICACION",'T.D. FORTLZ'!$A$3,"CLASIFICACION","EQUIPO, TECNOLOGÍA E INFRAESTRUCTURA","SUBCLASIFICACION","SOFTWARE")</f>
        <v>#REF!</v>
      </c>
      <c r="G16" s="15" t="s">
        <v>1750</v>
      </c>
    </row>
    <row r="17" spans="1:7" ht="57" customHeight="1" x14ac:dyDescent="0.25">
      <c r="A17" s="16"/>
      <c r="B17" s="10" t="s">
        <v>1571</v>
      </c>
      <c r="C17" s="14" t="s">
        <v>1572</v>
      </c>
      <c r="D17" s="12" t="e">
        <f>+GETPIVOTDATA("SUBCLASIFICACION",'T.D. DEBLD'!$A$3,"CLASIFICACION","EQUIPO, TECNOLOGÍA E INFRAESTRUCTURA","SUBCLASIFICACION","HARDWARE")</f>
        <v>#REF!</v>
      </c>
      <c r="E17" s="13" t="s">
        <v>1751</v>
      </c>
      <c r="F17" s="12" t="e">
        <f>+GETPIVOTDATA("SUBCLASIFICACION",'T.D. FORTLZ'!$A$3,"CLASIFICACION","EQUIPO, TECNOLOGÍA E INFRAESTRUCTURA","SUBCLASIFICACION","HARDWARE ")</f>
        <v>#REF!</v>
      </c>
      <c r="G17" s="15" t="s">
        <v>1752</v>
      </c>
    </row>
    <row r="18" spans="1:7" ht="60.75" customHeight="1" x14ac:dyDescent="0.25">
      <c r="A18" s="16"/>
      <c r="B18" s="6" t="s">
        <v>1573</v>
      </c>
      <c r="C18" s="14" t="s">
        <v>1574</v>
      </c>
      <c r="D18" s="12" t="e">
        <f>+GETPIVOTDATA("SUBCLASIFICACION",'T.D. DEBLD'!$A$3,"CLASIFICACION","EQUIPO, TECNOLOGÍA E INFRAESTRUCTURA","SUBCLASIFICACION","OBSOLESCENCIA")</f>
        <v>#REF!</v>
      </c>
      <c r="E18" s="13" t="s">
        <v>1753</v>
      </c>
      <c r="F18" s="12">
        <v>0</v>
      </c>
      <c r="G18" s="12">
        <v>0</v>
      </c>
    </row>
    <row r="19" spans="1:7" ht="86.25" customHeight="1" x14ac:dyDescent="0.25">
      <c r="A19" s="19" t="s">
        <v>1576</v>
      </c>
      <c r="B19" s="10" t="s">
        <v>1577</v>
      </c>
      <c r="C19" s="14" t="s">
        <v>1578</v>
      </c>
      <c r="D19" s="12" t="e">
        <f>+GETPIVOTDATA("SUBCLASIFICACION",'T.D. DEBLD'!$A$3,"CLASIFICACION","INSUMOS","SUBCLASIFICACION","CONSUMO  ")</f>
        <v>#REF!</v>
      </c>
      <c r="E19" s="13" t="s">
        <v>1754</v>
      </c>
      <c r="F19" s="12" t="e">
        <f>+GETPIVOTDATA("SUBCLASIFICACION",'T.D. FORTLZ'!$A$3,"CLASIFICACION","INSUMOS ","SUBCLASIFICACION","CONSUMO")</f>
        <v>#REF!</v>
      </c>
      <c r="G19" s="12">
        <v>0</v>
      </c>
    </row>
    <row r="20" spans="1:7" ht="132" customHeight="1" x14ac:dyDescent="0.25">
      <c r="A20" s="19" t="s">
        <v>1579</v>
      </c>
      <c r="B20" s="10" t="s">
        <v>14</v>
      </c>
      <c r="C20" s="14" t="s">
        <v>1580</v>
      </c>
      <c r="D20" s="12" t="e">
        <f>+GETPIVOTDATA("SUBCLASIFICACION",'T.D. DEBLD'!$A$3,"CLASIFICACION","METODOS","SUBCLASIFICACION","COMUNICACIÓN ")</f>
        <v>#REF!</v>
      </c>
      <c r="E20" s="13" t="s">
        <v>1755</v>
      </c>
      <c r="F20" s="14" t="e">
        <f>+GETPIVOTDATA("SUBCLASIFICACION",'T.D. FORTLZ'!$A$3,"CLASIFICACION","METODOS","SUBCLASIFICACION","COMUNICACIÓN")</f>
        <v>#REF!</v>
      </c>
      <c r="G20" s="15" t="s">
        <v>1756</v>
      </c>
    </row>
    <row r="21" spans="1:7" ht="88.5" customHeight="1" x14ac:dyDescent="0.25">
      <c r="A21" s="20"/>
      <c r="B21" s="10" t="s">
        <v>1583</v>
      </c>
      <c r="C21" s="14" t="s">
        <v>1584</v>
      </c>
      <c r="D21" s="12" t="e">
        <f>+GETPIVOTDATA("SUBCLASIFICACION",'T.D. DEBLD'!$A$3,"CLASIFICACION","METODOS","SUBCLASIFICACION","DOCUMENTACION")</f>
        <v>#REF!</v>
      </c>
      <c r="E21" s="12">
        <v>0</v>
      </c>
      <c r="F21" s="12" t="e">
        <f>+GETPIVOTDATA("SUBCLASIFICACION",'T.D. FORTLZ'!$A$3,"CLASIFICACION","METODOS","SUBCLASIFICACION","DOCUMENTACION ")</f>
        <v>#REF!</v>
      </c>
      <c r="G21" s="15" t="s">
        <v>1757</v>
      </c>
    </row>
    <row r="22" spans="1:7" ht="79.5" customHeight="1" x14ac:dyDescent="0.25">
      <c r="A22" s="20"/>
      <c r="B22" s="10" t="s">
        <v>1587</v>
      </c>
      <c r="C22" s="14" t="s">
        <v>1588</v>
      </c>
      <c r="D22" s="12" t="e">
        <f>+GETPIVOTDATA("SUBCLASIFICACION",'T.D. DEBLD'!$A$3,"CLASIFICACION","METODOS","SUBCLASIFICACION","INFORMACION")</f>
        <v>#REF!</v>
      </c>
      <c r="E22" s="13" t="s">
        <v>1758</v>
      </c>
      <c r="F22" s="12" t="e">
        <f>+GETPIVOTDATA("SUBCLASIFICACION",'T.D. FORTLZ'!$A$3,"CLASIFICACION","METODOS","SUBCLASIFICACION","INFORMACION")</f>
        <v>#REF!</v>
      </c>
      <c r="G22" s="15" t="s">
        <v>1759</v>
      </c>
    </row>
    <row r="23" spans="1:7" ht="63.75" customHeight="1" x14ac:dyDescent="0.25">
      <c r="A23" s="20"/>
      <c r="B23" s="10" t="s">
        <v>1591</v>
      </c>
      <c r="C23" s="14" t="s">
        <v>1592</v>
      </c>
      <c r="D23" s="12" t="e">
        <f>+GETPIVOTDATA("SUBCLASIFICACION",'T.D. DEBLD'!$A$3,"CLASIFICACION","METODOS","SUBCLASIFICACION","GESTION DEL CAMBIO")</f>
        <v>#REF!</v>
      </c>
      <c r="E23" s="18" t="s">
        <v>1760</v>
      </c>
      <c r="F23" s="12" t="e">
        <f>+GETPIVOTDATA("SUBCLASIFICACION",'T.D. FORTLZ'!$A$3,"CLASIFICACION","METODOS","SUBCLASIFICACION","GESTION DEL CAMBIO ")</f>
        <v>#REF!</v>
      </c>
      <c r="G23" s="17" t="s">
        <v>1761</v>
      </c>
    </row>
    <row r="24" spans="1:7" ht="117" customHeight="1" x14ac:dyDescent="0.25">
      <c r="A24" s="20"/>
      <c r="B24" s="10" t="s">
        <v>22</v>
      </c>
      <c r="C24" s="14" t="s">
        <v>1594</v>
      </c>
      <c r="D24" s="12" t="e">
        <f>+GETPIVOTDATA("SUBCLASIFICACION",'T.D. DEBLD'!$A$3,"CLASIFICACION","METODOS","SUBCLASIFICACION","TIEMPOS")</f>
        <v>#REF!</v>
      </c>
      <c r="E24" s="13" t="s">
        <v>1762</v>
      </c>
      <c r="F24" s="12" t="e">
        <f>+GETPIVOTDATA("SUBCLASIFICACION",'T.D. FORTLZ'!$A$3,"CLASIFICACION","METODOS","SUBCLASIFICACION","TIEMPOS")</f>
        <v>#REF!</v>
      </c>
      <c r="G24" s="15" t="s">
        <v>1763</v>
      </c>
    </row>
    <row r="25" spans="1:7" ht="59.25" customHeight="1" x14ac:dyDescent="0.25">
      <c r="A25" s="20"/>
      <c r="B25" s="10" t="s">
        <v>70</v>
      </c>
      <c r="C25" s="145" t="s">
        <v>1597</v>
      </c>
      <c r="D25" s="12" t="e">
        <f>+GETPIVOTDATA("SUBCLASIFICACION",'T.D. DEBLD'!$A$3,"CLASIFICACION","METODOS","SUBCLASIFICACION","NORMATIVIDAD")</f>
        <v>#REF!</v>
      </c>
      <c r="E25" s="13" t="s">
        <v>1764</v>
      </c>
      <c r="F25" s="12" t="e">
        <f>+GETPIVOTDATA("SUBCLASIFICACION",'T.D. FORTLZ'!$A$3,"CLASIFICACION","METODOS","SUBCLASIFICACION","NORMATIVIDAD")</f>
        <v>#REF!</v>
      </c>
      <c r="G25" s="15" t="s">
        <v>1765</v>
      </c>
    </row>
    <row r="26" spans="1:7" ht="110.25" customHeight="1" x14ac:dyDescent="0.25">
      <c r="A26" s="20"/>
      <c r="B26" s="10" t="s">
        <v>68</v>
      </c>
      <c r="C26" s="14" t="s">
        <v>1600</v>
      </c>
      <c r="D26" s="12" t="e">
        <f>+GETPIVOTDATA("SUBCLASIFICACION",'T.D. DEBLD'!$A$3,"CLASIFICACION","METODOS","SUBCLASIFICACION","SISTEMATIZACION ")</f>
        <v>#REF!</v>
      </c>
      <c r="E26" s="13" t="s">
        <v>1766</v>
      </c>
      <c r="F26" s="12" t="e">
        <f>+GETPIVOTDATA("SUBCLASIFICACION",'T.D. FORTLZ'!$A$3,"CLASIFICACION","METODOS","SUBCLASIFICACION","SISTEMATIZACION")</f>
        <v>#REF!</v>
      </c>
      <c r="G26" s="15" t="s">
        <v>1767</v>
      </c>
    </row>
    <row r="27" spans="1:7" ht="43.5" customHeight="1" x14ac:dyDescent="0.25">
      <c r="A27" s="20"/>
      <c r="B27" s="10" t="s">
        <v>1603</v>
      </c>
      <c r="C27" s="14" t="s">
        <v>1604</v>
      </c>
      <c r="D27" s="12" t="e">
        <f>+GETPIVOTDATA("SUBCLASIFICACION",'T.D. DEBLD'!$A$3,"CLASIFICACION","METODOS","SUBCLASIFICACION","TRANSPARENCIA ")</f>
        <v>#REF!</v>
      </c>
      <c r="E27" s="18" t="s">
        <v>1736</v>
      </c>
      <c r="F27" s="12">
        <v>0</v>
      </c>
      <c r="G27" s="12">
        <v>0</v>
      </c>
    </row>
    <row r="28" spans="1:7" ht="58.5" customHeight="1" x14ac:dyDescent="0.25">
      <c r="A28" s="20"/>
      <c r="B28" s="10" t="s">
        <v>1606</v>
      </c>
      <c r="C28" s="14" t="s">
        <v>1607</v>
      </c>
      <c r="D28" s="12">
        <v>0</v>
      </c>
      <c r="E28" s="12">
        <v>0</v>
      </c>
      <c r="F28" s="12" t="e">
        <f>+GETPIVOTDATA("SUBCLASIFICACION",'T.D. FORTLZ'!$A$3,"CLASIFICACION","METODOS","SUBCLASIFICACION","IMPLEMENTACION ")</f>
        <v>#REF!</v>
      </c>
      <c r="G28" s="15" t="s">
        <v>1768</v>
      </c>
    </row>
    <row r="29" spans="1:7" ht="88.5" customHeight="1" x14ac:dyDescent="0.25">
      <c r="A29" s="20"/>
      <c r="B29" s="10" t="s">
        <v>17</v>
      </c>
      <c r="C29" s="14" t="s">
        <v>1610</v>
      </c>
      <c r="D29" s="12" t="e">
        <f>+GETPIVOTDATA("SUBCLASIFICACION",'T.D. DEBLD'!$A$3,"CLASIFICACION","MEDICION ","SUBCLASIFICACION","SEGUIMIENTO Y CONTROL ")</f>
        <v>#REF!</v>
      </c>
      <c r="E29" s="13" t="s">
        <v>1769</v>
      </c>
      <c r="F29" s="12">
        <f>+GETPIVOTDATA("SUBCLASIFICACION",'T.D. FORTLZ'!$A$3,"CLASIFICACION","MEDICION ","SUBCLASIFICACION","SEGUIMIENTO Y CONTROL ")</f>
        <v>4</v>
      </c>
      <c r="G29" s="15" t="s">
        <v>1770</v>
      </c>
    </row>
    <row r="30" spans="1:7" ht="174" customHeight="1" x14ac:dyDescent="0.25">
      <c r="A30" s="20"/>
      <c r="B30" s="10" t="s">
        <v>107</v>
      </c>
      <c r="C30" s="14" t="s">
        <v>1613</v>
      </c>
      <c r="D30" s="12" t="e">
        <f>+GETPIVOTDATA("SUBCLASIFICACION",'T.D. DEBLD'!$A$3,"CLASIFICACION","METODOS","SUBCLASIFICACION","PROCEDIMIENTOS")</f>
        <v>#REF!</v>
      </c>
      <c r="E30" s="13" t="s">
        <v>1771</v>
      </c>
      <c r="F30" s="12" t="e">
        <f>+GETPIVOTDATA("SUBCLASIFICACION",'T.D. FORTLZ'!$A$3,"CLASIFICACION","METODOS","SUBCLASIFICACION","PROCEDIMIENTOS ")</f>
        <v>#REF!</v>
      </c>
      <c r="G30" s="15" t="s">
        <v>1772</v>
      </c>
    </row>
    <row r="31" spans="1:7" ht="248.25" customHeight="1" x14ac:dyDescent="0.25">
      <c r="A31" s="20"/>
      <c r="B31" s="6" t="s">
        <v>1616</v>
      </c>
      <c r="C31" s="14" t="s">
        <v>1617</v>
      </c>
      <c r="D31" s="12" t="e">
        <f>+GETPIVOTDATA("SUBCLASIFICACION",'T.D. DEBLD'!$A$3,"CLASIFICACION","METODOS","SUBCLASIFICACION","ARTICULACION DE PROCESOS")</f>
        <v>#REF!</v>
      </c>
      <c r="E31" s="13" t="s">
        <v>1773</v>
      </c>
      <c r="F31" s="12" t="e">
        <f>+GETPIVOTDATA("SUBCLASIFICACION",'T.D. FORTLZ'!$A$3,"CLASIFICACION","METODOS","SUBCLASIFICACION","ARTICULACIÓN DE PROCESOS")</f>
        <v>#REF!</v>
      </c>
      <c r="G31" s="15" t="s">
        <v>1774</v>
      </c>
    </row>
    <row r="32" spans="1:7" ht="96.75" customHeight="1" x14ac:dyDescent="0.25">
      <c r="A32" s="19" t="s">
        <v>16</v>
      </c>
      <c r="B32" s="10" t="s">
        <v>144</v>
      </c>
      <c r="C32" s="14" t="s">
        <v>1620</v>
      </c>
      <c r="D32" s="12" t="e">
        <f>+GETPIVOTDATA("SUBCLASIFICACION",'T.D. DEBLD'!$A$3,"CLASIFICACION","MEDICION ","SUBCLASIFICACION","INDICADORES")</f>
        <v>#REF!</v>
      </c>
      <c r="E32" s="13" t="s">
        <v>1775</v>
      </c>
      <c r="F32" s="12">
        <f>+GETPIVOTDATA("SUBCLASIFICACION",'T.D. FORTLZ'!$A$3,"CLASIFICACION","MEDICION ","SUBCLASIFICACION","INDICADORES")</f>
        <v>20</v>
      </c>
      <c r="G32" s="15" t="s">
        <v>1776</v>
      </c>
    </row>
    <row r="33" spans="1:7" ht="60.75" customHeight="1" x14ac:dyDescent="0.25">
      <c r="A33" s="20"/>
      <c r="B33" s="10" t="s">
        <v>1623</v>
      </c>
      <c r="C33" s="14" t="s">
        <v>1624</v>
      </c>
      <c r="D33" s="12" t="e">
        <f>+GETPIVOTDATA("SUBCLASIFICACION",'T.D. DEBLD'!$A$3,"CLASIFICACION","MEDICION ","SUBCLASIFICACION","RESULTADOS ")</f>
        <v>#REF!</v>
      </c>
      <c r="E33" s="13" t="s">
        <v>1777</v>
      </c>
      <c r="F33" s="12">
        <f>+GETPIVOTDATA("SUBCLASIFICACION",'T.D. FORTLZ'!$A$3,"CLASIFICACION","MEDICION ","SUBCLASIFICACION","RESULTADOS")</f>
        <v>1</v>
      </c>
      <c r="G33" s="17" t="s">
        <v>1760</v>
      </c>
    </row>
    <row r="34" spans="1:7" ht="80.25" customHeight="1" x14ac:dyDescent="0.25">
      <c r="A34" s="20"/>
      <c r="B34" s="10" t="s">
        <v>1627</v>
      </c>
      <c r="C34" s="14" t="s">
        <v>1628</v>
      </c>
      <c r="D34" s="12" t="e">
        <f>+GETPIVOTDATA("SUBCLASIFICACION",'T.D. DEBLD'!$A$3,"CLASIFICACION","MEDICION ","SUBCLASIFICACION","TRAZABILIDAD")</f>
        <v>#REF!</v>
      </c>
      <c r="E34" s="13" t="s">
        <v>1778</v>
      </c>
      <c r="F34" s="12">
        <f>+GETPIVOTDATA("SUBCLASIFICACION",'T.D. FORTLZ'!$A$3,"CLASIFICACION","MEDICION ","SUBCLASIFICACION","TRAZABILIDAD")</f>
        <v>2</v>
      </c>
      <c r="G34" s="15" t="s">
        <v>1779</v>
      </c>
    </row>
    <row r="35" spans="1:7" ht="193.5" customHeight="1" x14ac:dyDescent="0.25">
      <c r="A35" s="19" t="s">
        <v>42</v>
      </c>
      <c r="B35" s="10" t="s">
        <v>43</v>
      </c>
      <c r="C35" s="14" t="s">
        <v>1629</v>
      </c>
      <c r="D35" s="12" t="e">
        <f>+GETPIVOTDATA("SUBCLASIFICACION",'T.D. DEBLD'!$A$3,"CLASIFICACION","MONEDA","SUBCLASIFICACION","PRESUPUESTO")</f>
        <v>#REF!</v>
      </c>
      <c r="E35" s="13" t="s">
        <v>1780</v>
      </c>
      <c r="F35" s="12">
        <f>+GETPIVOTDATA("SUBCLASIFICACION",'T.D. FORTLZ'!$A$3,"CLASIFICACION","MONEDA","SUBCLASIFICACION","PRESUPUESTO")</f>
        <v>6</v>
      </c>
      <c r="G35" s="15" t="s">
        <v>1781</v>
      </c>
    </row>
    <row r="36" spans="1:7" ht="97.5" customHeight="1" x14ac:dyDescent="0.25">
      <c r="A36" s="20"/>
      <c r="B36" s="10" t="s">
        <v>1632</v>
      </c>
      <c r="C36" s="14" t="s">
        <v>1633</v>
      </c>
      <c r="D36" s="12" t="e">
        <f>+GETPIVOTDATA("SUBCLASIFICACION",'T.D. DEBLD'!$A$3,"CLASIFICACION","MONEDA","SUBCLASIFICACION","LIQUIDEZ")</f>
        <v>#REF!</v>
      </c>
      <c r="E36" s="13" t="s">
        <v>1782</v>
      </c>
      <c r="F36" s="12">
        <f>+GETPIVOTDATA("SUBCLASIFICACION",'T.D. FORTLZ'!$A$3,"CLASIFICACION","MONEDA","SUBCLASIFICACION","LIQUIDEZ")</f>
        <v>6</v>
      </c>
      <c r="G36" s="15" t="s">
        <v>1783</v>
      </c>
    </row>
    <row r="37" spans="1:7" ht="87" customHeight="1" x14ac:dyDescent="0.25">
      <c r="A37" s="9" t="s">
        <v>207</v>
      </c>
      <c r="B37" s="21" t="s">
        <v>293</v>
      </c>
      <c r="C37" s="14" t="s">
        <v>1636</v>
      </c>
      <c r="D37" s="12" t="e">
        <f>+GETPIVOTDATA("SUBCLASIFICACION",'T.D. DEBLD'!$A$3,"CLASIFICACION","MEDIO AMBIENTE","SUBCLASIFICACION","BIENESTAR LABORAL ")</f>
        <v>#REF!</v>
      </c>
      <c r="E37" s="13" t="s">
        <v>1784</v>
      </c>
      <c r="F37" s="12">
        <f>+GETPIVOTDATA("SUBCLASIFICACION",'T.D. FORTLZ'!$A$3,"CLASIFICACION","MEDIO AMBIENTE","SUBCLASIFICACION","BIENESTAR LABORAL")</f>
        <v>21</v>
      </c>
      <c r="G37" s="15" t="s">
        <v>1785</v>
      </c>
    </row>
    <row r="38" spans="1:7" ht="122.25" customHeight="1" x14ac:dyDescent="0.25">
      <c r="A38" s="19" t="s">
        <v>1638</v>
      </c>
      <c r="B38" s="10" t="s">
        <v>1639</v>
      </c>
      <c r="C38" s="14" t="s">
        <v>1640</v>
      </c>
      <c r="D38" s="14" t="e">
        <f>+GETPIVOTDATA("SUBCLASIFICACION",'T.D. DEBLD'!$A$3,"CLASIFICACION","MANAGEMENT","SUBCLASIFICACION","DIRECCIONAMIENTO ESTRATEGICO")</f>
        <v>#REF!</v>
      </c>
      <c r="E38" s="13" t="s">
        <v>1786</v>
      </c>
      <c r="F38" s="12">
        <f>+GETPIVOTDATA("SUBCLASIFICACION",'T.D. FORTLZ'!$A$3,"CLASIFICACION","MANAGEMENT","SUBCLASIFICACION","DIRECCIONAMIENTO ESTRATEGICO")</f>
        <v>13</v>
      </c>
      <c r="G38" s="15" t="s">
        <v>1787</v>
      </c>
    </row>
    <row r="39" spans="1:7" ht="109.5" customHeight="1" x14ac:dyDescent="0.25">
      <c r="A39" s="22"/>
      <c r="B39" s="10" t="s">
        <v>58</v>
      </c>
      <c r="C39" s="14" t="s">
        <v>1643</v>
      </c>
      <c r="D39" s="12" t="e">
        <f>+GETPIVOTDATA("SUBCLASIFICACION",'T.D. DEBLD'!$A$3,"CLASIFICACION","MANAGEMENT","SUBCLASIFICACION","PLANIFICACION ")</f>
        <v>#REF!</v>
      </c>
      <c r="E39" s="13" t="s">
        <v>1788</v>
      </c>
      <c r="F39" s="12">
        <f>+GETPIVOTDATA("SUBCLASIFICACION",'T.D. FORTLZ'!$A$3,"CLASIFICACION","MANAGEMENT","SUBCLASIFICACION","PLANIFICACION ")</f>
        <v>27</v>
      </c>
      <c r="G39" s="15" t="s">
        <v>1789</v>
      </c>
    </row>
    <row r="40" spans="1:7" ht="146.25" customHeight="1" x14ac:dyDescent="0.25">
      <c r="A40" s="22"/>
      <c r="B40" s="6" t="s">
        <v>45</v>
      </c>
      <c r="C40" s="14" t="s">
        <v>1646</v>
      </c>
      <c r="D40" s="12" t="e">
        <f>+GETPIVOTDATA("SUBCLASIFICACION",'T.D. DEBLD'!$A$3,"CLASIFICACION","MANAGEMENT","SUBCLASIFICACION","LIDERAZGO")</f>
        <v>#REF!</v>
      </c>
      <c r="E40" s="13" t="s">
        <v>1790</v>
      </c>
      <c r="F40" s="12">
        <f>+GETPIVOTDATA("SUBCLASIFICACION",'T.D. FORTLZ'!$A$3,"CLASIFICACION","MANAGEMENT","SUBCLASIFICACION","LIDERAZGO")</f>
        <v>17</v>
      </c>
      <c r="G40" s="15" t="s">
        <v>1791</v>
      </c>
    </row>
    <row r="41" spans="1:7" ht="102" customHeight="1" x14ac:dyDescent="0.25">
      <c r="A41" s="22"/>
      <c r="B41" s="6" t="s">
        <v>174</v>
      </c>
      <c r="C41" s="14" t="s">
        <v>1648</v>
      </c>
      <c r="D41" s="12">
        <v>0</v>
      </c>
      <c r="E41" s="18" t="s">
        <v>1792</v>
      </c>
      <c r="F41" s="12">
        <f>+GETPIVOTDATA("SUBCLASIFICACION",'T.D. FORTLZ'!$A$3,"CLASIFICACION","MANAGEMENT","SUBCLASIFICACION","COMPETITIVIDAD")</f>
        <v>5</v>
      </c>
      <c r="G41" s="15" t="s">
        <v>1793</v>
      </c>
    </row>
    <row r="42" spans="1:7" ht="59.25" customHeight="1" x14ac:dyDescent="0.25">
      <c r="A42" s="22"/>
      <c r="B42" s="10" t="s">
        <v>1649</v>
      </c>
      <c r="C42" s="14" t="s">
        <v>1650</v>
      </c>
      <c r="D42" s="12" t="e">
        <f>+GETPIVOTDATA("SUBCLASIFICACION",'T.D. DEBLD'!$A$3,"CLASIFICACION","MANAGEMENT","SUBCLASIFICACION","RELACIONAMIENTO")</f>
        <v>#REF!</v>
      </c>
      <c r="E42" s="12">
        <v>0</v>
      </c>
      <c r="F42" s="12">
        <f>+GETPIVOTDATA("SUBCLASIFICACION",'T.D. FORTLZ'!$A$3,"CLASIFICACION","MANAGEMENT","SUBCLASIFICACION","RELACIONAMIENTO")</f>
        <v>9</v>
      </c>
      <c r="G42" s="15" t="s">
        <v>1794</v>
      </c>
    </row>
    <row r="43" spans="1:7" ht="108.75" customHeight="1" x14ac:dyDescent="0.25">
      <c r="A43" s="22"/>
      <c r="B43" s="10" t="s">
        <v>1653</v>
      </c>
      <c r="C43" s="14" t="s">
        <v>1654</v>
      </c>
      <c r="D43" s="12">
        <v>0</v>
      </c>
      <c r="E43" s="12">
        <v>0</v>
      </c>
      <c r="F43" s="12">
        <f>+GETPIVOTDATA("SUBCLASIFICACION",'T.D. FORTLZ'!$A$3,"CLASIFICACION","MANAGEMENT","SUBCLASIFICACION","POSICIONAMIENTO")</f>
        <v>9</v>
      </c>
      <c r="G43" s="15" t="s">
        <v>1795</v>
      </c>
    </row>
    <row r="44" spans="1:7" ht="54.75" customHeight="1" x14ac:dyDescent="0.25">
      <c r="A44" s="22"/>
      <c r="B44" s="10" t="s">
        <v>1656</v>
      </c>
      <c r="C44" s="14" t="s">
        <v>1657</v>
      </c>
      <c r="D44" s="12" t="e">
        <f>+GETPIVOTDATA("SUBCLASIFICACION",'T.D. DEBLD'!$A$3,"CLASIFICACION","MANAGEMENT","SUBCLASIFICACION","ESTRUCTURA ORGANICA ")</f>
        <v>#REF!</v>
      </c>
      <c r="E44" s="18" t="s">
        <v>1796</v>
      </c>
      <c r="F44" s="12" t="e">
        <f>+GETPIVOTDATA("SUBCLASIFICACION",'T.D. FORTLZ'!$A$3,"CLASIFICACION","MANAGEMENT","SUBCLASIFICACION","ESTRUCTURA ORGANICA")</f>
        <v>#REF!</v>
      </c>
      <c r="G44" s="12">
        <v>0</v>
      </c>
    </row>
    <row r="45" spans="1:7" s="2" customFormat="1" ht="32.25" customHeight="1" x14ac:dyDescent="0.25">
      <c r="A45" s="208" t="s">
        <v>1658</v>
      </c>
      <c r="B45" s="209"/>
      <c r="C45" s="5" t="s">
        <v>1525</v>
      </c>
      <c r="D45" s="6" t="s">
        <v>1659</v>
      </c>
      <c r="E45" s="23" t="s">
        <v>1527</v>
      </c>
      <c r="F45" s="6" t="s">
        <v>1660</v>
      </c>
      <c r="G45" s="24" t="s">
        <v>1527</v>
      </c>
    </row>
    <row r="46" spans="1:7" ht="45.75" customHeight="1" x14ac:dyDescent="0.25">
      <c r="A46" s="25" t="s">
        <v>1661</v>
      </c>
      <c r="B46" s="10" t="s">
        <v>1662</v>
      </c>
      <c r="C46" s="14" t="s">
        <v>1663</v>
      </c>
      <c r="D46" s="12">
        <f>+GETPIVOTDATA("SUBCLASIFICACION",'T.D.AMENZ'!$A$3,"CLASIFICACION","POLITICO","SUBCLASIFICACION","POLITICAS")</f>
        <v>4</v>
      </c>
      <c r="E46" s="12">
        <v>0</v>
      </c>
      <c r="F46" s="12">
        <f>+GETPIVOTDATA("SUBCLASIFICACION",'T.D. OPRTND'!$A$3,"CLASIFICACION","POLITICO","SUBCLASIFICACION","POLITICAS")</f>
        <v>16</v>
      </c>
      <c r="G46" s="17" t="s">
        <v>1797</v>
      </c>
    </row>
    <row r="47" spans="1:7" ht="44.25" customHeight="1" x14ac:dyDescent="0.25">
      <c r="A47" s="25"/>
      <c r="B47" s="6" t="s">
        <v>1666</v>
      </c>
      <c r="C47" s="14" t="s">
        <v>1667</v>
      </c>
      <c r="D47" s="12">
        <f>+GETPIVOTDATA("SUBCLASIFICACION",'T.D.AMENZ'!$A$3,"CLASIFICACION","POLITICO","SUBCLASIFICACION","INFLUENCIA ")</f>
        <v>7</v>
      </c>
      <c r="E47" s="13" t="s">
        <v>1798</v>
      </c>
      <c r="F47" s="12">
        <v>0</v>
      </c>
      <c r="G47" s="12">
        <v>0</v>
      </c>
    </row>
    <row r="48" spans="1:7" ht="75.75" customHeight="1" x14ac:dyDescent="0.25">
      <c r="A48" s="16"/>
      <c r="B48" s="6" t="s">
        <v>487</v>
      </c>
      <c r="C48" s="14" t="s">
        <v>1669</v>
      </c>
      <c r="D48" s="12">
        <f>+GETPIVOTDATA("SUBCLASIFICACION",'T.D.AMENZ'!$A$3,"CLASIFICACION","POLITICO","SUBCLASIFICACION","TRANSPARENCIA")</f>
        <v>5</v>
      </c>
      <c r="E48" s="12" t="s">
        <v>1799</v>
      </c>
      <c r="F48" s="12">
        <f>+GETPIVOTDATA("SUBCLASIFICACION",'T.D. OPRTND'!$A$3,"CLASIFICACION","POLITICO","SUBCLASIFICACION","TRANSPARENCIA")</f>
        <v>1</v>
      </c>
      <c r="G48" s="12">
        <v>0</v>
      </c>
    </row>
    <row r="49" spans="1:7" ht="191.25" customHeight="1" x14ac:dyDescent="0.25">
      <c r="A49" s="16"/>
      <c r="B49" s="6" t="s">
        <v>1649</v>
      </c>
      <c r="C49" s="14" t="s">
        <v>1671</v>
      </c>
      <c r="D49" s="12">
        <f>+GETPIVOTDATA("SUBCLASIFICACION",'T.D.AMENZ'!$A$3,"CLASIFICACION","POLITICO","SUBCLASIFICACION","RELACIONAMIENTO ")</f>
        <v>3</v>
      </c>
      <c r="E49" s="18" t="s">
        <v>1742</v>
      </c>
      <c r="F49" s="12">
        <f>+GETPIVOTDATA("SUBCLASIFICACION",'T.D. OPRTND'!$A$3,"CLASIFICACION","POLITICO","SUBCLASIFICACION","RELACIONAMIENTO")</f>
        <v>11</v>
      </c>
      <c r="G49" s="15" t="s">
        <v>1800</v>
      </c>
    </row>
    <row r="50" spans="1:7" ht="77.25" customHeight="1" x14ac:dyDescent="0.25">
      <c r="A50" s="19" t="s">
        <v>1049</v>
      </c>
      <c r="B50" s="10" t="s">
        <v>1042</v>
      </c>
      <c r="C50" s="14" t="s">
        <v>1673</v>
      </c>
      <c r="D50" s="12">
        <f>+GETPIVOTDATA("SUBCLASIFICACION",'T.D.AMENZ'!$A$3,"CLASIFICACION","ECONOMICO ","SUBCLASIFICACION","INVERSION ")</f>
        <v>1</v>
      </c>
      <c r="E50" s="13" t="s">
        <v>1801</v>
      </c>
      <c r="F50" s="12">
        <f>+GETPIVOTDATA("SUBCLASIFICACION",'T.D. OPRTND'!$A$3,"CLASIFICACION","ECONOMICO ","SUBCLASIFICACION","INVERSION ")</f>
        <v>1</v>
      </c>
      <c r="G50" s="17" t="s">
        <v>1792</v>
      </c>
    </row>
    <row r="51" spans="1:7" ht="97.5" customHeight="1" x14ac:dyDescent="0.25">
      <c r="A51" s="20"/>
      <c r="B51" s="10" t="s">
        <v>1191</v>
      </c>
      <c r="C51" s="14" t="s">
        <v>1674</v>
      </c>
      <c r="D51" s="12">
        <f>+GETPIVOTDATA("SUBCLASIFICACION",'T.D.AMENZ'!$A$3,"CLASIFICACION","ECONOMICO ","SUBCLASIFICACION","CARTERA")</f>
        <v>2</v>
      </c>
      <c r="E51" s="18" t="s">
        <v>1802</v>
      </c>
      <c r="F51" s="12">
        <v>0</v>
      </c>
      <c r="G51" s="12">
        <v>0</v>
      </c>
    </row>
    <row r="52" spans="1:7" ht="117.75" customHeight="1" x14ac:dyDescent="0.25">
      <c r="A52" s="20"/>
      <c r="B52" s="10" t="s">
        <v>43</v>
      </c>
      <c r="C52" s="14" t="s">
        <v>1675</v>
      </c>
      <c r="D52" s="12">
        <f>+GETPIVOTDATA("SUBCLASIFICACION",'T.D.AMENZ'!$A$3,"CLASIFICACION","ECONOMICO ","SUBCLASIFICACION","PRESUPUESTO")</f>
        <v>11</v>
      </c>
      <c r="E52" s="13" t="s">
        <v>1803</v>
      </c>
      <c r="F52" s="12">
        <f>+GETPIVOTDATA("SUBCLASIFICACION",'T.D. OPRTND'!$A$3,"CLASIFICACION","ECONOMICO ","SUBCLASIFICACION","PRESUPUESTO")</f>
        <v>2</v>
      </c>
      <c r="G52" s="15" t="s">
        <v>1804</v>
      </c>
    </row>
    <row r="53" spans="1:7" ht="117" customHeight="1" x14ac:dyDescent="0.25">
      <c r="A53" s="19" t="s">
        <v>1038</v>
      </c>
      <c r="B53" s="10" t="s">
        <v>1046</v>
      </c>
      <c r="C53" s="14" t="s">
        <v>1677</v>
      </c>
      <c r="D53" s="12">
        <f>+GETPIVOTDATA("SUBCLASIFICACION",'T.D.AMENZ'!$A$3,"CLASIFICACION","SOCIAL","SUBCLASIFICACION","NECESIDADES")</f>
        <v>16</v>
      </c>
      <c r="E53" s="13" t="s">
        <v>1805</v>
      </c>
      <c r="F53" s="12">
        <f>+GETPIVOTDATA("SUBCLASIFICACION",'T.D. OPRTND'!$A$3,"CLASIFICACION","SOCIAL ","SUBCLASIFICACION","NECESIDADES ")</f>
        <v>40</v>
      </c>
      <c r="G53" s="15" t="s">
        <v>1806</v>
      </c>
    </row>
    <row r="54" spans="1:7" ht="61.5" customHeight="1" x14ac:dyDescent="0.25">
      <c r="A54" s="20"/>
      <c r="B54" s="10" t="s">
        <v>1680</v>
      </c>
      <c r="C54" s="14" t="s">
        <v>1681</v>
      </c>
      <c r="D54" s="12">
        <f>+GETPIVOTDATA("SUBCLASIFICACION",'T.D.AMENZ'!$A$3,"CLASIFICACION","SOCIAL","SUBCLASIFICACION","SEGURIDAD")</f>
        <v>12</v>
      </c>
      <c r="E54" s="13" t="s">
        <v>1807</v>
      </c>
      <c r="F54" s="12">
        <v>0</v>
      </c>
      <c r="G54" s="12">
        <v>0</v>
      </c>
    </row>
    <row r="55" spans="1:7" ht="57" customHeight="1" x14ac:dyDescent="0.25">
      <c r="A55" s="20"/>
      <c r="B55" s="10" t="s">
        <v>1683</v>
      </c>
      <c r="C55" s="14" t="s">
        <v>1684</v>
      </c>
      <c r="D55" s="12">
        <f>+GETPIVOTDATA("SUBCLASIFICACION",'T.D.AMENZ'!$A$3,"CLASIFICACION","SOCIAL","SUBCLASIFICACION","MEDIOS DE COMUNICACIÓN")</f>
        <v>3</v>
      </c>
      <c r="E55" s="13" t="s">
        <v>1808</v>
      </c>
      <c r="F55" s="12">
        <f>+GETPIVOTDATA("SUBCLASIFICACION",'T.D. OPRTND'!$A$3,"CLASIFICACION","SOCIAL ","SUBCLASIFICACION","MEDIOS DE COMUNICACIÓN")</f>
        <v>2</v>
      </c>
      <c r="G55" s="15" t="s">
        <v>1809</v>
      </c>
    </row>
    <row r="56" spans="1:7" ht="108" customHeight="1" x14ac:dyDescent="0.25">
      <c r="A56" s="20"/>
      <c r="B56" s="6" t="s">
        <v>1687</v>
      </c>
      <c r="C56" s="14" t="s">
        <v>1688</v>
      </c>
      <c r="D56" s="12">
        <f>+GETPIVOTDATA("SUBCLASIFICACION",'T.D.AMENZ'!$A$3,"CLASIFICACION","SOCIAL","SUBCLASIFICACION","CULTURA")</f>
        <v>15</v>
      </c>
      <c r="E56" s="13" t="s">
        <v>1810</v>
      </c>
      <c r="F56" s="12">
        <v>0</v>
      </c>
      <c r="G56" s="12">
        <v>0</v>
      </c>
    </row>
    <row r="57" spans="1:7" ht="103.5" customHeight="1" x14ac:dyDescent="0.25">
      <c r="A57" s="19" t="s">
        <v>1061</v>
      </c>
      <c r="B57" s="10" t="s">
        <v>1081</v>
      </c>
      <c r="C57" s="14" t="s">
        <v>1691</v>
      </c>
      <c r="D57" s="12">
        <f>+GETPIVOTDATA("SUBCLASIFICACION",'T.D.AMENZ'!$A$3,"CLASIFICACION","TECNOLOGICO","SUBCLASIFICACION","SEGURIDAD DE LA INFORMACION")</f>
        <v>8</v>
      </c>
      <c r="E57" s="13" t="s">
        <v>1811</v>
      </c>
      <c r="F57" s="12">
        <v>0</v>
      </c>
      <c r="G57" s="12">
        <v>0</v>
      </c>
    </row>
    <row r="58" spans="1:7" ht="86.25" customHeight="1" x14ac:dyDescent="0.25">
      <c r="A58" s="20"/>
      <c r="B58" s="10" t="s">
        <v>1062</v>
      </c>
      <c r="C58" s="14" t="s">
        <v>1693</v>
      </c>
      <c r="D58" s="12">
        <f>+GETPIVOTDATA("SUBCLASIFICACION",'T.D.AMENZ'!$A$3,"CLASIFICACION","TECNOLOGICO","SUBCLASIFICACION","ACCESIBILIDAD")</f>
        <v>4</v>
      </c>
      <c r="E58" s="13" t="s">
        <v>1812</v>
      </c>
      <c r="F58" s="12">
        <f>+GETPIVOTDATA("SUBCLASIFICACION",'T.D. OPRTND'!$A$3,"CLASIFICACION","TECNOLOGICO ","SUBCLASIFICACION","ACCESIBILIDAD")</f>
        <v>13</v>
      </c>
      <c r="G58" s="15" t="s">
        <v>1813</v>
      </c>
    </row>
    <row r="59" spans="1:7" ht="62.25" customHeight="1" x14ac:dyDescent="0.25">
      <c r="A59" s="20"/>
      <c r="B59" s="6" t="s">
        <v>1123</v>
      </c>
      <c r="C59" s="14" t="s">
        <v>1696</v>
      </c>
      <c r="D59" s="12">
        <v>0</v>
      </c>
      <c r="E59" s="18" t="s">
        <v>1814</v>
      </c>
      <c r="F59" s="12">
        <f>+GETPIVOTDATA("SUBCLASIFICACION",'T.D. OPRTND'!$A$3,"CLASIFICACION","TECNOLOGICO ","SUBCLASIFICACION","AVANCES ")</f>
        <v>23</v>
      </c>
      <c r="G59" s="15" t="s">
        <v>1815</v>
      </c>
    </row>
    <row r="60" spans="1:7" ht="78.75" customHeight="1" x14ac:dyDescent="0.25">
      <c r="A60" s="19" t="s">
        <v>1034</v>
      </c>
      <c r="B60" s="10" t="s">
        <v>1035</v>
      </c>
      <c r="C60" s="14" t="s">
        <v>1698</v>
      </c>
      <c r="D60" s="12">
        <f>+GETPIVOTDATA("SUBCLASIFICACION",'T.D.AMENZ'!$A$3,"CLASIFICACION","AMBIENTAL","SUBCLASIFICACION","CLIMA ")</f>
        <v>14</v>
      </c>
      <c r="E60" s="13" t="s">
        <v>1816</v>
      </c>
      <c r="F60" s="12">
        <f>+GETPIVOTDATA("SUBCLASIFICACION",'T.D. OPRTND'!$A$3,"CLASIFICACION","AMBIENTAL","SUBCLASIFICACION","CLIMA")</f>
        <v>1</v>
      </c>
      <c r="G60" s="17" t="s">
        <v>1817</v>
      </c>
    </row>
    <row r="61" spans="1:7" ht="45.75" customHeight="1" x14ac:dyDescent="0.25">
      <c r="A61" s="20"/>
      <c r="B61" s="5" t="s">
        <v>1700</v>
      </c>
      <c r="C61" s="14" t="s">
        <v>1701</v>
      </c>
      <c r="D61" s="12">
        <f>+GETPIVOTDATA("SUBCLASIFICACION",'T.D.AMENZ'!$A$3,"CLASIFICACION","AMBIENTAL","SUBCLASIFICACION","PATOGENOS EXTERNOS ")</f>
        <v>7</v>
      </c>
      <c r="E61" s="18" t="s">
        <v>1814</v>
      </c>
      <c r="F61" s="12">
        <v>0</v>
      </c>
      <c r="G61" s="12">
        <v>0</v>
      </c>
    </row>
    <row r="62" spans="1:7" ht="74.25" customHeight="1" x14ac:dyDescent="0.25">
      <c r="A62" s="19" t="s">
        <v>1245</v>
      </c>
      <c r="B62" s="10" t="s">
        <v>1703</v>
      </c>
      <c r="C62" s="14" t="s">
        <v>1704</v>
      </c>
      <c r="D62" s="12">
        <f>+GETPIVOTDATA("SUBCLASIFICACION",'T.D.AMENZ'!$A$3,"CLASIFICACION","LEGAL ","SUBCLASIFICACION","CONFIABILIDAD")</f>
        <v>1</v>
      </c>
      <c r="E62" s="18" t="s">
        <v>1818</v>
      </c>
      <c r="F62" s="12">
        <v>0</v>
      </c>
      <c r="G62" s="12">
        <v>0</v>
      </c>
    </row>
    <row r="63" spans="1:7" ht="87" customHeight="1" x14ac:dyDescent="0.25">
      <c r="A63" s="20"/>
      <c r="B63" s="10" t="s">
        <v>1050</v>
      </c>
      <c r="C63" s="14" t="s">
        <v>1705</v>
      </c>
      <c r="D63" s="12">
        <f>+GETPIVOTDATA("SUBCLASIFICACION",'T.D.AMENZ'!$A$3,"CLASIFICACION","LEGAL ","SUBCLASIFICACION","LINEAMIENTOS ")</f>
        <v>8</v>
      </c>
      <c r="E63" s="13" t="s">
        <v>1819</v>
      </c>
      <c r="F63" s="12">
        <f>+GETPIVOTDATA("SUBCLASIFICACION",'T.D. OPRTND'!$A$3,"CLASIFICACION","LEGAL","SUBCLASIFICACION","LINEAMIENTOS")</f>
        <v>11</v>
      </c>
      <c r="G63" s="15" t="s">
        <v>1820</v>
      </c>
    </row>
    <row r="64" spans="1:7" ht="80.25" customHeight="1" x14ac:dyDescent="0.25">
      <c r="A64" s="20"/>
      <c r="B64" s="10" t="s">
        <v>1708</v>
      </c>
      <c r="C64" s="14" t="s">
        <v>1709</v>
      </c>
      <c r="D64" s="12">
        <f>+GETPIVOTDATA("SUBCLASIFICACION",'T.D.AMENZ'!$A$3,"CLASIFICACION","LEGAL ","SUBCLASIFICACION","ENTES DE CONTROL")</f>
        <v>2</v>
      </c>
      <c r="E64" s="13" t="s">
        <v>1821</v>
      </c>
      <c r="F64" s="12">
        <f>+GETPIVOTDATA("SUBCLASIFICACION",'T.D. OPRTND'!$A$3,"CLASIFICACION","LEGAL","SUBCLASIFICACION","ENTES DE CONTROL")</f>
        <v>4</v>
      </c>
      <c r="G64" s="15" t="s">
        <v>1822</v>
      </c>
    </row>
    <row r="65" spans="1:7" ht="64.5" customHeight="1" x14ac:dyDescent="0.25">
      <c r="A65" s="20"/>
      <c r="B65" s="10" t="s">
        <v>1711</v>
      </c>
      <c r="C65" s="14" t="s">
        <v>1712</v>
      </c>
      <c r="D65" s="12">
        <f>+GETPIVOTDATA("SUBCLASIFICACION",'T.D.AMENZ'!$A$3,"CLASIFICACION","LEGAL ","SUBCLASIFICACION","CONTINUIDAD DE PROCESOS")</f>
        <v>13</v>
      </c>
      <c r="E65" s="13" t="s">
        <v>1823</v>
      </c>
      <c r="F65" s="12">
        <v>0</v>
      </c>
      <c r="G65" s="12">
        <v>0</v>
      </c>
    </row>
    <row r="66" spans="1:7" ht="119.25" customHeight="1" x14ac:dyDescent="0.25">
      <c r="A66" s="20"/>
      <c r="B66" s="10" t="s">
        <v>1714</v>
      </c>
      <c r="C66" s="14" t="s">
        <v>1715</v>
      </c>
      <c r="D66" s="12">
        <f>+GETPIVOTDATA("SUBCLASIFICACION",'T.D.AMENZ'!$A$3,"CLASIFICACION","LEGAL ","SUBCLASIFICACION","NORMATIVIDAD")</f>
        <v>19</v>
      </c>
      <c r="E66" s="13" t="s">
        <v>1824</v>
      </c>
      <c r="F66" s="12">
        <f>+GETPIVOTDATA("SUBCLASIFICACION",'T.D. OPRTND'!$A$3,"CLASIFICACION","LEGAL","SUBCLASIFICACION","NORMATIVIDAD")</f>
        <v>10</v>
      </c>
      <c r="G66" s="15" t="s">
        <v>1825</v>
      </c>
    </row>
    <row r="67" spans="1:7" ht="78.75" customHeight="1" x14ac:dyDescent="0.25">
      <c r="A67" s="9" t="s">
        <v>1022</v>
      </c>
      <c r="B67" s="10" t="s">
        <v>1072</v>
      </c>
      <c r="C67" s="14" t="s">
        <v>1718</v>
      </c>
      <c r="D67" s="12">
        <f>+GETPIVOTDATA("SUBCLASIFICACION",'T.D.AMENZ'!$A$3,"CLASIFICACION","MERCADO","SUBCLASIFICACION","OFERTA")</f>
        <v>1</v>
      </c>
      <c r="E67" s="13" t="s">
        <v>1826</v>
      </c>
      <c r="F67" s="12">
        <f>+GETPIVOTDATA("SUBCLASIFICACION",'T.D. OPRTND'!$A$3,"CLASIFICACION","MERCADO","SUBCLASIFICACION","OFERTA ")</f>
        <v>16</v>
      </c>
      <c r="G67" s="15" t="s">
        <v>1827</v>
      </c>
    </row>
    <row r="68" spans="1:7" ht="81.75" customHeight="1" x14ac:dyDescent="0.25">
      <c r="A68" s="26"/>
      <c r="B68" s="10" t="s">
        <v>1120</v>
      </c>
      <c r="C68" s="14" t="s">
        <v>1720</v>
      </c>
      <c r="D68" s="12" t="e">
        <f>+GETPIVOTDATA("SUBCLASIFICACION",'T.D.AMENZ'!$A$3,"CLASIFICACION","MERCADO","SUBCLASIFICACION","DEMANDA")</f>
        <v>#REF!</v>
      </c>
      <c r="E68" s="12">
        <v>0</v>
      </c>
      <c r="F68" s="12">
        <f>+GETPIVOTDATA("SUBCLASIFICACION",'T.D. OPRTND'!$A$3,"CLASIFICACION","MERCADO","SUBCLASIFICACION","DEMANDA")</f>
        <v>2</v>
      </c>
      <c r="G68" s="15" t="s">
        <v>1828</v>
      </c>
    </row>
    <row r="69" spans="1:7" ht="111" customHeight="1" x14ac:dyDescent="0.25">
      <c r="A69" s="26"/>
      <c r="B69" s="10" t="s">
        <v>1023</v>
      </c>
      <c r="C69" s="14" t="s">
        <v>1723</v>
      </c>
      <c r="D69" s="12">
        <f>+GETPIVOTDATA("SUBCLASIFICACION",'T.D.AMENZ'!$A$3,"CLASIFICACION","MERCADO","SUBCLASIFICACION","RECONOCIMIENTO")</f>
        <v>5</v>
      </c>
      <c r="E69" s="13" t="s">
        <v>1829</v>
      </c>
      <c r="F69" s="12">
        <f>+GETPIVOTDATA("SUBCLASIFICACION",'T.D. OPRTND'!$A$3,"CLASIFICACION","MERCADO","SUBCLASIFICACION","RECONOCIMIENTO")</f>
        <v>38</v>
      </c>
      <c r="G69" s="15" t="s">
        <v>1830</v>
      </c>
    </row>
    <row r="70" spans="1:7" ht="146.25" customHeight="1" x14ac:dyDescent="0.25">
      <c r="A70" s="27"/>
      <c r="B70" s="6" t="s">
        <v>10</v>
      </c>
      <c r="C70" s="14" t="s">
        <v>1726</v>
      </c>
      <c r="D70" s="12">
        <f>+GETPIVOTDATA("SUBCLASIFICACION",'T.D.AMENZ'!$A$3,"CLASIFICACION","MERCADO","SUBCLASIFICACION","COMPETENCIA ")</f>
        <v>6</v>
      </c>
      <c r="E70" s="13" t="s">
        <v>1794</v>
      </c>
      <c r="F70" s="12">
        <f>+GETPIVOTDATA("SUBCLASIFICACION",'T.D. OPRTND'!$A$3,"CLASIFICACION","MERCADO","SUBCLASIFICACION","COMPETENCIA")</f>
        <v>11</v>
      </c>
      <c r="G70" s="15" t="s">
        <v>1831</v>
      </c>
    </row>
    <row r="71" spans="1:7" ht="15" customHeight="1" x14ac:dyDescent="0.25"/>
    <row r="72" spans="1:7" ht="15" customHeight="1" x14ac:dyDescent="0.25"/>
    <row r="73" spans="1:7" ht="15" customHeight="1" x14ac:dyDescent="0.25"/>
    <row r="74" spans="1:7" ht="15" customHeight="1" x14ac:dyDescent="0.25"/>
  </sheetData>
  <mergeCells count="2">
    <mergeCell ref="A45:B45"/>
    <mergeCell ref="A1:B1"/>
  </mergeCells>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035"/>
  <sheetViews>
    <sheetView showGridLines="0" zoomScale="80" zoomScaleNormal="80" workbookViewId="0">
      <selection activeCell="H517" sqref="H515:H517"/>
    </sheetView>
  </sheetViews>
  <sheetFormatPr baseColWidth="10" defaultColWidth="11.42578125" defaultRowHeight="15" x14ac:dyDescent="0.2"/>
  <cols>
    <col min="1" max="1" width="14.28515625" style="93" customWidth="1"/>
    <col min="2" max="2" width="36" style="92" customWidth="1"/>
    <col min="3" max="3" width="68" style="51" customWidth="1"/>
    <col min="4" max="4" width="23.140625" style="56" customWidth="1"/>
    <col min="5" max="5" width="30" style="56" customWidth="1"/>
    <col min="6" max="6" width="47.7109375" style="64" customWidth="1"/>
    <col min="7" max="16384" width="11.42578125" style="51"/>
  </cols>
  <sheetData>
    <row r="1" spans="1:6" ht="16.5" thickBot="1" x14ac:dyDescent="0.25">
      <c r="B1" s="90"/>
      <c r="C1" s="48"/>
      <c r="D1" s="55"/>
      <c r="E1" s="55"/>
    </row>
    <row r="2" spans="1:6" ht="16.5" x14ac:dyDescent="0.2">
      <c r="A2" s="52" t="s">
        <v>1832</v>
      </c>
      <c r="B2" s="52" t="s">
        <v>3</v>
      </c>
      <c r="C2" s="53" t="s">
        <v>2</v>
      </c>
      <c r="D2" s="54" t="s">
        <v>1833</v>
      </c>
      <c r="E2" s="54" t="s">
        <v>1834</v>
      </c>
      <c r="F2" s="65" t="s">
        <v>1835</v>
      </c>
    </row>
    <row r="3" spans="1:6" ht="30" x14ac:dyDescent="0.2">
      <c r="A3" s="94" t="s">
        <v>7</v>
      </c>
      <c r="B3" s="98" t="s">
        <v>8</v>
      </c>
      <c r="C3" s="50" t="s">
        <v>1836</v>
      </c>
      <c r="D3" s="104" t="s">
        <v>1837</v>
      </c>
      <c r="E3" s="104" t="s">
        <v>20</v>
      </c>
      <c r="F3" s="51" t="e">
        <f>+VLOOKUP(C3,'[1]CRUCE RIESGOS'!$F$4:$G$281,2,FALSE)</f>
        <v>#N/A</v>
      </c>
    </row>
    <row r="4" spans="1:6" ht="57" x14ac:dyDescent="0.2">
      <c r="A4" s="94" t="s">
        <v>7</v>
      </c>
      <c r="B4" s="98" t="s">
        <v>8</v>
      </c>
      <c r="C4" s="50" t="s">
        <v>21</v>
      </c>
      <c r="D4" s="104" t="s">
        <v>1837</v>
      </c>
      <c r="E4" s="104" t="s">
        <v>22</v>
      </c>
      <c r="F4" s="99" t="e">
        <f>+VLOOKUP(C4,'[1]CRUCE RIESGOS'!$F$4:$G$281,2,FALSE)</f>
        <v>#N/A</v>
      </c>
    </row>
    <row r="5" spans="1:6" ht="30" x14ac:dyDescent="0.2">
      <c r="A5" s="94" t="s">
        <v>7</v>
      </c>
      <c r="B5" s="98" t="s">
        <v>8</v>
      </c>
      <c r="C5" s="50" t="s">
        <v>23</v>
      </c>
      <c r="D5" s="104" t="s">
        <v>1837</v>
      </c>
      <c r="E5" s="104" t="s">
        <v>22</v>
      </c>
      <c r="F5" s="51" t="e">
        <f>+VLOOKUP(C5,'[1]CRUCE RIESGOS'!$F$4:$G$281,2,FALSE)</f>
        <v>#N/A</v>
      </c>
    </row>
    <row r="6" spans="1:6" ht="30" x14ac:dyDescent="0.2">
      <c r="A6" s="94" t="s">
        <v>7</v>
      </c>
      <c r="B6" s="98" t="s">
        <v>8</v>
      </c>
      <c r="C6" s="50" t="s">
        <v>24</v>
      </c>
      <c r="D6" s="104" t="s">
        <v>1837</v>
      </c>
      <c r="E6" s="104" t="s">
        <v>22</v>
      </c>
      <c r="F6" s="51" t="e">
        <f>+VLOOKUP(C6,'[1]CRUCE RIESGOS'!$F$4:$G$281,2,FALSE)</f>
        <v>#N/A</v>
      </c>
    </row>
    <row r="7" spans="1:6" ht="30" x14ac:dyDescent="0.2">
      <c r="A7" s="94" t="s">
        <v>7</v>
      </c>
      <c r="B7" s="98" t="s">
        <v>8</v>
      </c>
      <c r="C7" s="50" t="s">
        <v>25</v>
      </c>
      <c r="D7" s="104" t="s">
        <v>9</v>
      </c>
      <c r="E7" s="104" t="s">
        <v>26</v>
      </c>
      <c r="F7" s="99" t="e">
        <f>+VLOOKUP(C7,'[1]CRUCE RIESGOS'!$F$4:$G$281,2,FALSE)</f>
        <v>#N/A</v>
      </c>
    </row>
    <row r="8" spans="1:6" ht="30" x14ac:dyDescent="0.2">
      <c r="A8" s="94" t="s">
        <v>7</v>
      </c>
      <c r="B8" s="98" t="s">
        <v>8</v>
      </c>
      <c r="C8" s="50" t="s">
        <v>27</v>
      </c>
      <c r="D8" s="104" t="s">
        <v>11</v>
      </c>
      <c r="E8" s="104" t="s">
        <v>1656</v>
      </c>
      <c r="F8" s="51" t="e">
        <f>+VLOOKUP(C8,'[1]CRUCE RIESGOS'!$F$4:$G$281,2,FALSE)</f>
        <v>#N/A</v>
      </c>
    </row>
    <row r="9" spans="1:6" ht="30" x14ac:dyDescent="0.2">
      <c r="A9" s="94" t="s">
        <v>7</v>
      </c>
      <c r="B9" s="98" t="s">
        <v>8</v>
      </c>
      <c r="C9" s="50" t="s">
        <v>28</v>
      </c>
      <c r="D9" s="104" t="s">
        <v>11</v>
      </c>
      <c r="E9" s="104" t="s">
        <v>1639</v>
      </c>
      <c r="F9" s="51" t="e">
        <f>+VLOOKUP(C9,'[1]CRUCE RIESGOS'!$F$4:$G$281,2,FALSE)</f>
        <v>#N/A</v>
      </c>
    </row>
    <row r="10" spans="1:6" ht="30" x14ac:dyDescent="0.2">
      <c r="A10" s="94" t="s">
        <v>7</v>
      </c>
      <c r="B10" s="98" t="s">
        <v>8</v>
      </c>
      <c r="C10" s="50" t="s">
        <v>29</v>
      </c>
      <c r="D10" s="104" t="s">
        <v>16</v>
      </c>
      <c r="E10" s="104" t="s">
        <v>17</v>
      </c>
      <c r="F10" s="51" t="e">
        <f>+VLOOKUP(C10,'[1]CRUCE RIESGOS'!$F$4:$G$281,2,FALSE)</f>
        <v>#N/A</v>
      </c>
    </row>
    <row r="11" spans="1:6" ht="30" x14ac:dyDescent="0.2">
      <c r="A11" s="94" t="s">
        <v>7</v>
      </c>
      <c r="B11" s="98" t="s">
        <v>8</v>
      </c>
      <c r="C11" s="50" t="s">
        <v>30</v>
      </c>
      <c r="D11" s="104" t="s">
        <v>9</v>
      </c>
      <c r="E11" s="104" t="s">
        <v>18</v>
      </c>
      <c r="F11" s="51"/>
    </row>
    <row r="12" spans="1:6" ht="71.25" x14ac:dyDescent="0.2">
      <c r="A12" s="94" t="s">
        <v>7</v>
      </c>
      <c r="B12" s="98" t="s">
        <v>34</v>
      </c>
      <c r="C12" s="50" t="s">
        <v>44</v>
      </c>
      <c r="D12" s="104" t="s">
        <v>11</v>
      </c>
      <c r="E12" s="104" t="s">
        <v>45</v>
      </c>
      <c r="F12" s="51"/>
    </row>
    <row r="13" spans="1:6" ht="30" x14ac:dyDescent="0.2">
      <c r="A13" s="94" t="s">
        <v>7</v>
      </c>
      <c r="B13" s="98" t="s">
        <v>34</v>
      </c>
      <c r="C13" s="50" t="s">
        <v>36</v>
      </c>
      <c r="D13" s="104" t="s">
        <v>9</v>
      </c>
      <c r="E13" s="104" t="s">
        <v>33</v>
      </c>
      <c r="F13" s="51" t="e">
        <f>+VLOOKUP(C13,'[1]CRUCE RIESGOS'!$F$4:$G$281,2,FALSE)</f>
        <v>#N/A</v>
      </c>
    </row>
    <row r="14" spans="1:6" ht="42.75" x14ac:dyDescent="0.2">
      <c r="A14" s="94" t="s">
        <v>7</v>
      </c>
      <c r="B14" s="98" t="s">
        <v>34</v>
      </c>
      <c r="C14" s="50" t="s">
        <v>37</v>
      </c>
      <c r="D14" s="104" t="s">
        <v>12</v>
      </c>
      <c r="E14" s="104" t="s">
        <v>13</v>
      </c>
      <c r="F14" s="51" t="e">
        <f>+VLOOKUP(C14,'[1]CRUCE RIESGOS'!$F$4:$G$281,2,FALSE)</f>
        <v>#N/A</v>
      </c>
    </row>
    <row r="15" spans="1:6" ht="57" x14ac:dyDescent="0.2">
      <c r="A15" s="94" t="s">
        <v>7</v>
      </c>
      <c r="B15" s="98" t="s">
        <v>34</v>
      </c>
      <c r="C15" s="50" t="s">
        <v>38</v>
      </c>
      <c r="D15" s="104" t="s">
        <v>1837</v>
      </c>
      <c r="E15" s="104" t="s">
        <v>20</v>
      </c>
      <c r="F15" s="51" t="e">
        <f>+VLOOKUP(C15,'[1]CRUCE RIESGOS'!$F$4:$G$281,2,FALSE)</f>
        <v>#N/A</v>
      </c>
    </row>
    <row r="16" spans="1:6" ht="85.5" x14ac:dyDescent="0.2">
      <c r="A16" s="94" t="s">
        <v>7</v>
      </c>
      <c r="B16" s="98" t="s">
        <v>34</v>
      </c>
      <c r="C16" s="50" t="s">
        <v>39</v>
      </c>
      <c r="D16" s="104" t="s">
        <v>12</v>
      </c>
      <c r="E16" s="104" t="s">
        <v>40</v>
      </c>
      <c r="F16" s="99" t="str">
        <f>+VLOOKUP(C16,'[1]CRUCE RIESGOS'!$F$4:$G$281,2,FALSE)</f>
        <v>No disponibilidad de los elementos educativos y/o espacios académicos referente a:  capacidad instalada, mantenimiento de elementos educativos y calibraciones equipos  de investigación (Incumplimiento características 24  y 26 del CNA).</v>
      </c>
    </row>
    <row r="17" spans="1:6" ht="30" x14ac:dyDescent="0.2">
      <c r="A17" s="94" t="s">
        <v>7</v>
      </c>
      <c r="B17" s="98" t="s">
        <v>34</v>
      </c>
      <c r="C17" s="85" t="s">
        <v>46</v>
      </c>
      <c r="D17" s="104" t="s">
        <v>1837</v>
      </c>
      <c r="E17" s="104" t="s">
        <v>22</v>
      </c>
      <c r="F17" s="99" t="e">
        <f>+VLOOKUP(C17,'[1]CRUCE RIESGOS'!$F$4:$G$281,2,FALSE)</f>
        <v>#N/A</v>
      </c>
    </row>
    <row r="18" spans="1:6" ht="30" x14ac:dyDescent="0.2">
      <c r="A18" s="94" t="s">
        <v>7</v>
      </c>
      <c r="B18" s="98" t="s">
        <v>34</v>
      </c>
      <c r="C18" s="50" t="s">
        <v>47</v>
      </c>
      <c r="D18" s="104" t="s">
        <v>42</v>
      </c>
      <c r="E18" s="104" t="s">
        <v>43</v>
      </c>
      <c r="F18" s="99" t="e">
        <f>+VLOOKUP(C18,'[1]CRUCE RIESGOS'!$F$4:$G$281,2,FALSE)</f>
        <v>#N/A</v>
      </c>
    </row>
    <row r="19" spans="1:6" ht="57" x14ac:dyDescent="0.2">
      <c r="A19" s="94" t="s">
        <v>7</v>
      </c>
      <c r="B19" s="98" t="s">
        <v>34</v>
      </c>
      <c r="C19" s="50" t="s">
        <v>48</v>
      </c>
      <c r="D19" s="104" t="s">
        <v>1837</v>
      </c>
      <c r="E19" s="104" t="s">
        <v>14</v>
      </c>
      <c r="F19" s="99" t="e">
        <f>+VLOOKUP(C19,'[1]CRUCE RIESGOS'!$F$4:$G$281,2,FALSE)</f>
        <v>#N/A</v>
      </c>
    </row>
    <row r="20" spans="1:6" ht="42.75" x14ac:dyDescent="0.2">
      <c r="A20" s="94" t="s">
        <v>7</v>
      </c>
      <c r="B20" s="98" t="s">
        <v>34</v>
      </c>
      <c r="C20" s="85" t="s">
        <v>49</v>
      </c>
      <c r="D20" s="104" t="s">
        <v>12</v>
      </c>
      <c r="E20" s="104" t="s">
        <v>13</v>
      </c>
      <c r="F20" s="99" t="e">
        <f>+VLOOKUP(C20,'[1]CRUCE RIESGOS'!$F$4:$G$281,2,FALSE)</f>
        <v>#N/A</v>
      </c>
    </row>
    <row r="21" spans="1:6" ht="30" x14ac:dyDescent="0.2">
      <c r="A21" s="94" t="s">
        <v>7</v>
      </c>
      <c r="B21" s="98" t="s">
        <v>34</v>
      </c>
      <c r="C21" s="85" t="s">
        <v>50</v>
      </c>
      <c r="D21" s="104" t="s">
        <v>9</v>
      </c>
      <c r="E21" s="104" t="s">
        <v>18</v>
      </c>
      <c r="F21" s="51" t="e">
        <f>+VLOOKUP(C21,'[1]CRUCE RIESGOS'!$F$4:$G$281,2,FALSE)</f>
        <v>#N/A</v>
      </c>
    </row>
    <row r="22" spans="1:6" ht="30" x14ac:dyDescent="0.2">
      <c r="A22" s="94" t="s">
        <v>7</v>
      </c>
      <c r="B22" s="98" t="s">
        <v>34</v>
      </c>
      <c r="C22" s="50" t="s">
        <v>51</v>
      </c>
      <c r="D22" s="104" t="s">
        <v>1837</v>
      </c>
      <c r="E22" s="104" t="s">
        <v>14</v>
      </c>
      <c r="F22" s="56"/>
    </row>
    <row r="23" spans="1:6" ht="30" x14ac:dyDescent="0.2">
      <c r="A23" s="94" t="s">
        <v>7</v>
      </c>
      <c r="B23" s="98" t="s">
        <v>34</v>
      </c>
      <c r="C23" s="50" t="s">
        <v>53</v>
      </c>
      <c r="D23" s="104" t="s">
        <v>9</v>
      </c>
      <c r="E23" s="104" t="s">
        <v>18</v>
      </c>
      <c r="F23" s="51"/>
    </row>
    <row r="24" spans="1:6" ht="45" x14ac:dyDescent="0.2">
      <c r="A24" s="94" t="s">
        <v>7</v>
      </c>
      <c r="B24" s="98" t="s">
        <v>61</v>
      </c>
      <c r="C24" s="50" t="s">
        <v>1838</v>
      </c>
      <c r="D24" s="104" t="s">
        <v>1837</v>
      </c>
      <c r="E24" s="104" t="s">
        <v>62</v>
      </c>
      <c r="F24" s="51" t="e">
        <f>+VLOOKUP(C24,'[1]CRUCE RIESGOS'!$F$4:$G$281,2,FALSE)</f>
        <v>#N/A</v>
      </c>
    </row>
    <row r="25" spans="1:6" ht="45" x14ac:dyDescent="0.2">
      <c r="A25" s="94" t="s">
        <v>7</v>
      </c>
      <c r="B25" s="98" t="s">
        <v>61</v>
      </c>
      <c r="C25" s="50" t="s">
        <v>1839</v>
      </c>
      <c r="D25" s="104" t="s">
        <v>1837</v>
      </c>
      <c r="E25" s="104" t="s">
        <v>22</v>
      </c>
      <c r="F25" s="51" t="e">
        <f>+VLOOKUP(C25,'[1]CRUCE RIESGOS'!$F$4:$G$281,2,FALSE)</f>
        <v>#N/A</v>
      </c>
    </row>
    <row r="26" spans="1:6" ht="45" x14ac:dyDescent="0.2">
      <c r="A26" s="94" t="s">
        <v>7</v>
      </c>
      <c r="B26" s="98" t="s">
        <v>61</v>
      </c>
      <c r="C26" s="50" t="s">
        <v>1840</v>
      </c>
      <c r="D26" s="104" t="s">
        <v>9</v>
      </c>
      <c r="E26" s="104" t="s">
        <v>41</v>
      </c>
      <c r="F26" s="51" t="e">
        <f>+VLOOKUP(C26,'[1]CRUCE RIESGOS'!$F$4:$G$281,2,FALSE)</f>
        <v>#N/A</v>
      </c>
    </row>
    <row r="27" spans="1:6" ht="45" x14ac:dyDescent="0.2">
      <c r="A27" s="94" t="s">
        <v>7</v>
      </c>
      <c r="B27" s="98" t="s">
        <v>61</v>
      </c>
      <c r="C27" s="50" t="s">
        <v>64</v>
      </c>
      <c r="D27" s="104" t="s">
        <v>1837</v>
      </c>
      <c r="E27" s="104" t="s">
        <v>14</v>
      </c>
      <c r="F27" s="51" t="e">
        <f>+VLOOKUP(C27,'[1]CRUCE RIESGOS'!$F$4:$G$281,2,FALSE)</f>
        <v>#N/A</v>
      </c>
    </row>
    <row r="28" spans="1:6" ht="45" x14ac:dyDescent="0.2">
      <c r="A28" s="94" t="s">
        <v>7</v>
      </c>
      <c r="B28" s="98" t="s">
        <v>61</v>
      </c>
      <c r="C28" s="85" t="s">
        <v>65</v>
      </c>
      <c r="D28" s="104" t="s">
        <v>1837</v>
      </c>
      <c r="E28" s="104" t="s">
        <v>22</v>
      </c>
      <c r="F28" s="51"/>
    </row>
    <row r="29" spans="1:6" ht="45" x14ac:dyDescent="0.2">
      <c r="A29" s="94" t="s">
        <v>7</v>
      </c>
      <c r="B29" s="98" t="s">
        <v>61</v>
      </c>
      <c r="C29" s="50" t="s">
        <v>66</v>
      </c>
      <c r="D29" s="104" t="s">
        <v>11</v>
      </c>
      <c r="E29" s="104" t="s">
        <v>1841</v>
      </c>
      <c r="F29" s="51" t="str">
        <f>+VLOOKUP(C29,'[1]CRUCE RIESGOS'!$F$4:$G$281,2,FALSE)</f>
        <v>Registrar en la plataforma SACES de CONACES y/o SACES CNA documentos maestros o informes de autoevaluación incompletos de acuerdo a las condiciones de calidad requeridas por el MEN y CNA</v>
      </c>
    </row>
    <row r="30" spans="1:6" ht="30" x14ac:dyDescent="0.2">
      <c r="A30" s="94" t="s">
        <v>7</v>
      </c>
      <c r="B30" s="98" t="s">
        <v>69</v>
      </c>
      <c r="C30" s="85" t="s">
        <v>72</v>
      </c>
      <c r="D30" s="104" t="s">
        <v>9</v>
      </c>
      <c r="E30" s="104" t="s">
        <v>10</v>
      </c>
      <c r="F30" s="51" t="e">
        <f>+VLOOKUP(C30,'[1]CRUCE RIESGOS'!$F$4:$G$281,2,FALSE)</f>
        <v>#N/A</v>
      </c>
    </row>
    <row r="31" spans="1:6" ht="30" x14ac:dyDescent="0.2">
      <c r="A31" s="94" t="s">
        <v>7</v>
      </c>
      <c r="B31" s="98" t="s">
        <v>69</v>
      </c>
      <c r="C31" s="50" t="s">
        <v>73</v>
      </c>
      <c r="D31" s="104" t="s">
        <v>42</v>
      </c>
      <c r="E31" s="104" t="s">
        <v>43</v>
      </c>
      <c r="F31" s="51" t="e">
        <f>+VLOOKUP(C31,'[1]CRUCE RIESGOS'!$F$4:$G$281,2,FALSE)</f>
        <v>#N/A</v>
      </c>
    </row>
    <row r="32" spans="1:6" ht="30" x14ac:dyDescent="0.2">
      <c r="A32" s="94" t="s">
        <v>7</v>
      </c>
      <c r="B32" s="98" t="s">
        <v>69</v>
      </c>
      <c r="C32" s="85" t="s">
        <v>74</v>
      </c>
      <c r="D32" s="104" t="s">
        <v>11</v>
      </c>
      <c r="E32" s="104" t="s">
        <v>1639</v>
      </c>
      <c r="F32" s="99" t="e">
        <f>+VLOOKUP(C32,'[1]CRUCE RIESGOS'!$F$4:$G$281,2,FALSE)</f>
        <v>#N/A</v>
      </c>
    </row>
    <row r="33" spans="1:6" ht="50.25" customHeight="1" x14ac:dyDescent="0.2">
      <c r="A33" s="94" t="s">
        <v>7</v>
      </c>
      <c r="B33" s="98" t="s">
        <v>69</v>
      </c>
      <c r="C33" s="85" t="s">
        <v>75</v>
      </c>
      <c r="D33" s="104" t="s">
        <v>16</v>
      </c>
      <c r="E33" s="104" t="s">
        <v>17</v>
      </c>
      <c r="F33" s="99" t="e">
        <f>+VLOOKUP(C33,'[1]CRUCE RIESGOS'!$F$4:$G$281,2,FALSE)</f>
        <v>#N/A</v>
      </c>
    </row>
    <row r="34" spans="1:6" ht="30" x14ac:dyDescent="0.2">
      <c r="A34" s="94" t="s">
        <v>7</v>
      </c>
      <c r="B34" s="98" t="s">
        <v>69</v>
      </c>
      <c r="C34" s="85" t="s">
        <v>76</v>
      </c>
      <c r="D34" s="104" t="s">
        <v>9</v>
      </c>
      <c r="E34" s="104" t="s">
        <v>33</v>
      </c>
      <c r="F34" s="99" t="e">
        <f>+VLOOKUP(C34,'[1]CRUCE RIESGOS'!$F$4:$G$281,2,FALSE)</f>
        <v>#N/A</v>
      </c>
    </row>
    <row r="35" spans="1:6" ht="30" x14ac:dyDescent="0.2">
      <c r="A35" s="94" t="s">
        <v>7</v>
      </c>
      <c r="B35" s="98" t="s">
        <v>69</v>
      </c>
      <c r="C35" s="50" t="s">
        <v>77</v>
      </c>
      <c r="D35" s="104" t="s">
        <v>1837</v>
      </c>
      <c r="E35" s="104" t="s">
        <v>22</v>
      </c>
      <c r="F35" s="99" t="e">
        <f>+VLOOKUP(C35,'[1]CRUCE RIESGOS'!$F$4:$G$281,2,FALSE)</f>
        <v>#N/A</v>
      </c>
    </row>
    <row r="36" spans="1:6" ht="53.25" customHeight="1" x14ac:dyDescent="0.2">
      <c r="A36" s="94" t="s">
        <v>7</v>
      </c>
      <c r="B36" s="98" t="s">
        <v>69</v>
      </c>
      <c r="C36" s="85" t="s">
        <v>78</v>
      </c>
      <c r="D36" s="104" t="s">
        <v>12</v>
      </c>
      <c r="E36" s="104" t="s">
        <v>13</v>
      </c>
      <c r="F36" s="99" t="e">
        <f>+VLOOKUP(C36,'[1]CRUCE RIESGOS'!$F$4:$G$281,2,FALSE)</f>
        <v>#N/A</v>
      </c>
    </row>
    <row r="37" spans="1:6" ht="30" x14ac:dyDescent="0.2">
      <c r="A37" s="94" t="s">
        <v>7</v>
      </c>
      <c r="B37" s="98" t="s">
        <v>69</v>
      </c>
      <c r="C37" s="50" t="s">
        <v>79</v>
      </c>
      <c r="D37" s="104" t="s">
        <v>1837</v>
      </c>
      <c r="E37" s="104" t="s">
        <v>56</v>
      </c>
      <c r="F37" s="51" t="e">
        <f>+VLOOKUP(C37,'[1]CRUCE RIESGOS'!$F$4:$G$281,2,FALSE)</f>
        <v>#N/A</v>
      </c>
    </row>
    <row r="38" spans="1:6" ht="30" x14ac:dyDescent="0.2">
      <c r="A38" s="94" t="s">
        <v>7</v>
      </c>
      <c r="B38" s="98" t="s">
        <v>69</v>
      </c>
      <c r="C38" s="85" t="s">
        <v>80</v>
      </c>
      <c r="D38" s="104" t="s">
        <v>16</v>
      </c>
      <c r="E38" s="104" t="s">
        <v>17</v>
      </c>
      <c r="F38" s="51" t="e">
        <f>+VLOOKUP(C38,'[1]CRUCE RIESGOS'!$F$4:$G$281,2,FALSE)</f>
        <v>#N/A</v>
      </c>
    </row>
    <row r="39" spans="1:6" ht="30" x14ac:dyDescent="0.2">
      <c r="A39" s="94" t="s">
        <v>7</v>
      </c>
      <c r="B39" s="98" t="s">
        <v>69</v>
      </c>
      <c r="C39" s="50" t="s">
        <v>1842</v>
      </c>
      <c r="D39" s="104" t="s">
        <v>1837</v>
      </c>
      <c r="E39" s="104" t="s">
        <v>20</v>
      </c>
      <c r="F39" s="51" t="e">
        <f>+VLOOKUP(C39,'[1]CRUCE RIESGOS'!$F$4:$G$281,2,FALSE)</f>
        <v>#N/A</v>
      </c>
    </row>
    <row r="40" spans="1:6" ht="42.75" x14ac:dyDescent="0.2">
      <c r="A40" s="94" t="s">
        <v>7</v>
      </c>
      <c r="B40" s="98" t="s">
        <v>69</v>
      </c>
      <c r="C40" s="85" t="s">
        <v>1843</v>
      </c>
      <c r="D40" s="104" t="s">
        <v>12</v>
      </c>
      <c r="E40" s="104" t="s">
        <v>13</v>
      </c>
      <c r="F40" s="51" t="e">
        <f>+VLOOKUP(C40,'[1]CRUCE RIESGOS'!$F$4:$G$281,2,FALSE)</f>
        <v>#N/A</v>
      </c>
    </row>
    <row r="41" spans="1:6" ht="30" x14ac:dyDescent="0.2">
      <c r="A41" s="94" t="s">
        <v>7</v>
      </c>
      <c r="B41" s="98" t="s">
        <v>69</v>
      </c>
      <c r="C41" s="50" t="s">
        <v>81</v>
      </c>
      <c r="D41" s="104" t="s">
        <v>9</v>
      </c>
      <c r="E41" s="104" t="s">
        <v>10</v>
      </c>
      <c r="F41" s="99" t="e">
        <f>+VLOOKUP(C41,'[1]CRUCE RIESGOS'!$F$4:$G$281,2,FALSE)</f>
        <v>#N/A</v>
      </c>
    </row>
    <row r="42" spans="1:6" ht="30" x14ac:dyDescent="0.2">
      <c r="A42" s="94" t="s">
        <v>7</v>
      </c>
      <c r="B42" s="98" t="s">
        <v>69</v>
      </c>
      <c r="C42" s="50" t="s">
        <v>82</v>
      </c>
      <c r="D42" s="104" t="s">
        <v>1837</v>
      </c>
      <c r="E42" s="104" t="s">
        <v>22</v>
      </c>
      <c r="F42" s="99" t="e">
        <f>+VLOOKUP(C42,'[1]CRUCE RIESGOS'!$F$4:$G$281,2,FALSE)</f>
        <v>#N/A</v>
      </c>
    </row>
    <row r="43" spans="1:6" ht="30" x14ac:dyDescent="0.2">
      <c r="A43" s="94" t="s">
        <v>7</v>
      </c>
      <c r="B43" s="98" t="s">
        <v>69</v>
      </c>
      <c r="C43" s="85" t="s">
        <v>83</v>
      </c>
      <c r="D43" s="104" t="s">
        <v>1837</v>
      </c>
      <c r="E43" s="104" t="s">
        <v>71</v>
      </c>
      <c r="F43" s="51" t="e">
        <f>+VLOOKUP(C43,'[1]CRUCE RIESGOS'!$F$4:$G$281,2,FALSE)</f>
        <v>#N/A</v>
      </c>
    </row>
    <row r="44" spans="1:6" ht="30" x14ac:dyDescent="0.2">
      <c r="A44" s="94" t="s">
        <v>7</v>
      </c>
      <c r="B44" s="98" t="s">
        <v>69</v>
      </c>
      <c r="C44" s="85" t="s">
        <v>84</v>
      </c>
      <c r="D44" s="104" t="s">
        <v>16</v>
      </c>
      <c r="E44" s="104" t="s">
        <v>17</v>
      </c>
      <c r="F44" s="99" t="e">
        <f>+VLOOKUP(C44,'[1]CRUCE RIESGOS'!$F$4:$G$281,2,FALSE)</f>
        <v>#N/A</v>
      </c>
    </row>
    <row r="45" spans="1:6" ht="30" x14ac:dyDescent="0.2">
      <c r="A45" s="94" t="s">
        <v>7</v>
      </c>
      <c r="B45" s="98" t="s">
        <v>69</v>
      </c>
      <c r="C45" s="85" t="s">
        <v>85</v>
      </c>
      <c r="D45" s="104" t="s">
        <v>1837</v>
      </c>
      <c r="E45" s="104" t="s">
        <v>14</v>
      </c>
      <c r="F45" s="99" t="e">
        <f>+VLOOKUP(C45,'[1]CRUCE RIESGOS'!$F$4:$G$281,2,FALSE)</f>
        <v>#N/A</v>
      </c>
    </row>
    <row r="46" spans="1:6" ht="30" x14ac:dyDescent="0.2">
      <c r="A46" s="94" t="s">
        <v>7</v>
      </c>
      <c r="B46" s="98" t="s">
        <v>69</v>
      </c>
      <c r="C46" s="85" t="s">
        <v>86</v>
      </c>
      <c r="D46" s="104" t="s">
        <v>16</v>
      </c>
      <c r="E46" s="104" t="s">
        <v>17</v>
      </c>
      <c r="F46" s="51"/>
    </row>
    <row r="47" spans="1:6" ht="30" x14ac:dyDescent="0.2">
      <c r="A47" s="94" t="s">
        <v>7</v>
      </c>
      <c r="B47" s="98" t="s">
        <v>69</v>
      </c>
      <c r="C47" s="85" t="s">
        <v>87</v>
      </c>
      <c r="D47" s="104" t="s">
        <v>9</v>
      </c>
      <c r="E47" s="104" t="s">
        <v>10</v>
      </c>
      <c r="F47" s="51"/>
    </row>
    <row r="48" spans="1:6" ht="30" x14ac:dyDescent="0.2">
      <c r="A48" s="94" t="s">
        <v>7</v>
      </c>
      <c r="B48" s="98" t="s">
        <v>89</v>
      </c>
      <c r="C48" s="50" t="s">
        <v>99</v>
      </c>
      <c r="D48" s="104" t="s">
        <v>42</v>
      </c>
      <c r="E48" s="104" t="s">
        <v>43</v>
      </c>
      <c r="F48" s="51" t="e">
        <f>+VLOOKUP(C48,'[1]CRUCE RIESGOS'!$F$4:$G$281,2,FALSE)</f>
        <v>#N/A</v>
      </c>
    </row>
    <row r="49" spans="1:6" ht="30" x14ac:dyDescent="0.2">
      <c r="A49" s="94" t="s">
        <v>7</v>
      </c>
      <c r="B49" s="98" t="s">
        <v>89</v>
      </c>
      <c r="C49" s="85" t="s">
        <v>90</v>
      </c>
      <c r="D49" s="104" t="s">
        <v>9</v>
      </c>
      <c r="E49" s="104" t="s">
        <v>33</v>
      </c>
      <c r="F49" s="51" t="e">
        <f>+VLOOKUP(C49,'[1]CRUCE RIESGOS'!$F$4:$G$281,2,FALSE)</f>
        <v>#N/A</v>
      </c>
    </row>
    <row r="50" spans="1:6" ht="42.75" x14ac:dyDescent="0.2">
      <c r="A50" s="94" t="s">
        <v>7</v>
      </c>
      <c r="B50" s="98" t="s">
        <v>89</v>
      </c>
      <c r="C50" s="85" t="s">
        <v>91</v>
      </c>
      <c r="D50" s="104" t="s">
        <v>12</v>
      </c>
      <c r="E50" s="104" t="s">
        <v>32</v>
      </c>
      <c r="F50" s="51" t="e">
        <f>+VLOOKUP(C50,'[1]CRUCE RIESGOS'!$F$4:$G$281,2,FALSE)</f>
        <v>#N/A</v>
      </c>
    </row>
    <row r="51" spans="1:6" ht="42.75" x14ac:dyDescent="0.2">
      <c r="A51" s="94" t="s">
        <v>7</v>
      </c>
      <c r="B51" s="98" t="s">
        <v>89</v>
      </c>
      <c r="C51" s="85" t="s">
        <v>92</v>
      </c>
      <c r="D51" s="104" t="s">
        <v>12</v>
      </c>
      <c r="E51" s="104" t="s">
        <v>93</v>
      </c>
      <c r="F51" s="51" t="e">
        <f>+VLOOKUP(C51,'[1]CRUCE RIESGOS'!$F$4:$G$281,2,FALSE)</f>
        <v>#N/A</v>
      </c>
    </row>
    <row r="52" spans="1:6" s="48" customFormat="1" ht="30" x14ac:dyDescent="0.2">
      <c r="A52" s="94" t="s">
        <v>7</v>
      </c>
      <c r="B52" s="98" t="s">
        <v>89</v>
      </c>
      <c r="C52" s="50" t="s">
        <v>94</v>
      </c>
      <c r="D52" s="104" t="s">
        <v>42</v>
      </c>
      <c r="E52" s="104" t="s">
        <v>43</v>
      </c>
      <c r="F52" s="51" t="e">
        <f>+VLOOKUP(C52,'[1]CRUCE RIESGOS'!$F$4:$G$281,2,FALSE)</f>
        <v>#N/A</v>
      </c>
    </row>
    <row r="53" spans="1:6" ht="42.75" x14ac:dyDescent="0.2">
      <c r="A53" s="94" t="s">
        <v>7</v>
      </c>
      <c r="B53" s="98" t="s">
        <v>89</v>
      </c>
      <c r="C53" s="85" t="s">
        <v>95</v>
      </c>
      <c r="D53" s="104" t="s">
        <v>12</v>
      </c>
      <c r="E53" s="104" t="s">
        <v>40</v>
      </c>
      <c r="F53" s="51" t="e">
        <f>+VLOOKUP(C53,'[1]CRUCE RIESGOS'!$F$4:$G$281,2,FALSE)</f>
        <v>#N/A</v>
      </c>
    </row>
    <row r="54" spans="1:6" ht="30" x14ac:dyDescent="0.2">
      <c r="A54" s="94" t="s">
        <v>7</v>
      </c>
      <c r="B54" s="98" t="s">
        <v>89</v>
      </c>
      <c r="C54" s="50" t="s">
        <v>96</v>
      </c>
      <c r="D54" s="104" t="s">
        <v>11</v>
      </c>
      <c r="E54" s="104" t="s">
        <v>1841</v>
      </c>
      <c r="F54" s="99" t="str">
        <f>+VLOOKUP(C54,'[1]CRUCE RIESGOS'!$F$4:$G$281,2,FALSE)</f>
        <v>Atención inoportuna a cualquier miembro de la Comunidad Universitaria</v>
      </c>
    </row>
    <row r="55" spans="1:6" ht="30" x14ac:dyDescent="0.2">
      <c r="A55" s="94" t="s">
        <v>7</v>
      </c>
      <c r="B55" s="98" t="s">
        <v>89</v>
      </c>
      <c r="C55" s="50" t="s">
        <v>97</v>
      </c>
      <c r="D55" s="104" t="s">
        <v>9</v>
      </c>
      <c r="E55" s="104" t="s">
        <v>10</v>
      </c>
      <c r="F55" s="99" t="str">
        <f>+VLOOKUP(C55,'[1]CRUCE RIESGOS'!$F$4:$G$281,2,FALSE)</f>
        <v>Atención inoportuna a cualquier miembro de la Comunidad Universitaria</v>
      </c>
    </row>
    <row r="56" spans="1:6" ht="42.75" x14ac:dyDescent="0.2">
      <c r="A56" s="94" t="s">
        <v>7</v>
      </c>
      <c r="B56" s="98" t="s">
        <v>89</v>
      </c>
      <c r="C56" s="85" t="s">
        <v>98</v>
      </c>
      <c r="D56" s="104" t="s">
        <v>12</v>
      </c>
      <c r="E56" s="104" t="s">
        <v>1573</v>
      </c>
      <c r="F56" s="99" t="str">
        <f>+VLOOKUP(C56,'[1]CRUCE RIESGOS'!$F$4:$G$281,2,FALSE)</f>
        <v>Resultados no confiables en equipos de la Unidad de Salud para la toma de decisiones</v>
      </c>
    </row>
    <row r="57" spans="1:6" ht="42.75" x14ac:dyDescent="0.2">
      <c r="A57" s="94" t="s">
        <v>7</v>
      </c>
      <c r="B57" s="98" t="s">
        <v>102</v>
      </c>
      <c r="C57" s="50" t="s">
        <v>108</v>
      </c>
      <c r="D57" s="104" t="s">
        <v>12</v>
      </c>
      <c r="E57" s="104" t="s">
        <v>13</v>
      </c>
      <c r="F57" s="99" t="e">
        <f>+VLOOKUP(C57,'[1]CRUCE RIESGOS'!$F$4:$G$281,2,FALSE)</f>
        <v>#N/A</v>
      </c>
    </row>
    <row r="58" spans="1:6" ht="30" x14ac:dyDescent="0.2">
      <c r="A58" s="94" t="s">
        <v>7</v>
      </c>
      <c r="B58" s="98" t="s">
        <v>102</v>
      </c>
      <c r="C58" s="50" t="s">
        <v>109</v>
      </c>
      <c r="D58" s="104" t="s">
        <v>16</v>
      </c>
      <c r="E58" s="104" t="s">
        <v>103</v>
      </c>
      <c r="F58" s="99" t="e">
        <f>+VLOOKUP(C58,'[1]CRUCE RIESGOS'!$F$4:$G$281,2,FALSE)</f>
        <v>#N/A</v>
      </c>
    </row>
    <row r="59" spans="1:6" ht="30" x14ac:dyDescent="0.2">
      <c r="A59" s="94" t="s">
        <v>7</v>
      </c>
      <c r="B59" s="98" t="s">
        <v>102</v>
      </c>
      <c r="C59" s="50" t="s">
        <v>110</v>
      </c>
      <c r="D59" s="104" t="s">
        <v>1837</v>
      </c>
      <c r="E59" s="104" t="s">
        <v>107</v>
      </c>
      <c r="F59" s="51" t="e">
        <f>+VLOOKUP(C59,'[1]CRUCE RIESGOS'!$F$4:$G$281,2,FALSE)</f>
        <v>#N/A</v>
      </c>
    </row>
    <row r="60" spans="1:6" ht="30" x14ac:dyDescent="0.2">
      <c r="A60" s="94" t="s">
        <v>7</v>
      </c>
      <c r="B60" s="98" t="s">
        <v>102</v>
      </c>
      <c r="C60" s="50" t="s">
        <v>111</v>
      </c>
      <c r="D60" s="104" t="s">
        <v>1837</v>
      </c>
      <c r="E60" s="104" t="s">
        <v>22</v>
      </c>
      <c r="F60" s="99" t="e">
        <f>+VLOOKUP(C60,'[1]CRUCE RIESGOS'!$F$4:$G$281,2,FALSE)</f>
        <v>#N/A</v>
      </c>
    </row>
    <row r="61" spans="1:6" ht="30" x14ac:dyDescent="0.2">
      <c r="A61" s="94" t="s">
        <v>7</v>
      </c>
      <c r="B61" s="98" t="s">
        <v>102</v>
      </c>
      <c r="C61" s="50" t="s">
        <v>112</v>
      </c>
      <c r="D61" s="104" t="s">
        <v>104</v>
      </c>
      <c r="E61" s="104" t="s">
        <v>105</v>
      </c>
      <c r="F61" s="99" t="e">
        <f>+VLOOKUP(C61,'[1]CRUCE RIESGOS'!$F$4:$G$281,2,FALSE)</f>
        <v>#N/A</v>
      </c>
    </row>
    <row r="62" spans="1:6" ht="27" customHeight="1" x14ac:dyDescent="0.2">
      <c r="A62" s="94" t="s">
        <v>7</v>
      </c>
      <c r="B62" s="98" t="s">
        <v>102</v>
      </c>
      <c r="C62" s="50" t="s">
        <v>113</v>
      </c>
      <c r="D62" s="104" t="s">
        <v>9</v>
      </c>
      <c r="E62" s="104" t="s">
        <v>41</v>
      </c>
      <c r="F62" s="99" t="e">
        <f>+VLOOKUP(C62,'[1]CRUCE RIESGOS'!$F$4:$G$281,2,FALSE)</f>
        <v>#N/A</v>
      </c>
    </row>
    <row r="63" spans="1:6" ht="27" customHeight="1" x14ac:dyDescent="0.2">
      <c r="A63" s="94" t="s">
        <v>7</v>
      </c>
      <c r="B63" s="98" t="s">
        <v>102</v>
      </c>
      <c r="C63" s="50" t="s">
        <v>114</v>
      </c>
      <c r="D63" s="104" t="s">
        <v>1837</v>
      </c>
      <c r="E63" s="104" t="s">
        <v>22</v>
      </c>
      <c r="F63" s="99" t="e">
        <f>+VLOOKUP(C63,'[1]CRUCE RIESGOS'!$F$4:$G$281,2,FALSE)</f>
        <v>#N/A</v>
      </c>
    </row>
    <row r="64" spans="1:6" ht="27" customHeight="1" x14ac:dyDescent="0.2">
      <c r="A64" s="94" t="s">
        <v>7</v>
      </c>
      <c r="B64" s="98" t="s">
        <v>102</v>
      </c>
      <c r="C64" s="50" t="s">
        <v>115</v>
      </c>
      <c r="D64" s="104" t="s">
        <v>1837</v>
      </c>
      <c r="E64" s="104" t="s">
        <v>62</v>
      </c>
      <c r="F64" s="51" t="e">
        <f>+VLOOKUP(C64,'[1]CRUCE RIESGOS'!$F$4:$G$281,2,FALSE)</f>
        <v>#N/A</v>
      </c>
    </row>
    <row r="65" spans="1:6" ht="27" customHeight="1" x14ac:dyDescent="0.2">
      <c r="A65" s="94" t="s">
        <v>7</v>
      </c>
      <c r="B65" s="98" t="s">
        <v>102</v>
      </c>
      <c r="C65" s="50" t="s">
        <v>116</v>
      </c>
      <c r="D65" s="104" t="s">
        <v>1837</v>
      </c>
      <c r="E65" s="104" t="s">
        <v>70</v>
      </c>
      <c r="F65" s="51" t="e">
        <f>+VLOOKUP(C65,'[1]CRUCE RIESGOS'!$F$4:$G$281,2,FALSE)</f>
        <v>#N/A</v>
      </c>
    </row>
    <row r="66" spans="1:6" ht="30" x14ac:dyDescent="0.2">
      <c r="A66" s="94" t="s">
        <v>7</v>
      </c>
      <c r="B66" s="98" t="s">
        <v>102</v>
      </c>
      <c r="C66" s="50" t="s">
        <v>117</v>
      </c>
      <c r="D66" s="104" t="s">
        <v>16</v>
      </c>
      <c r="E66" s="104" t="s">
        <v>17</v>
      </c>
      <c r="F66" s="99" t="e">
        <f>+VLOOKUP(C66,'[1]CRUCE RIESGOS'!$F$4:$G$281,2,FALSE)</f>
        <v>#N/A</v>
      </c>
    </row>
    <row r="67" spans="1:6" ht="30" x14ac:dyDescent="0.2">
      <c r="A67" s="94" t="s">
        <v>7</v>
      </c>
      <c r="B67" s="98" t="s">
        <v>102</v>
      </c>
      <c r="C67" s="50" t="s">
        <v>118</v>
      </c>
      <c r="D67" s="104" t="s">
        <v>1837</v>
      </c>
      <c r="E67" s="104" t="s">
        <v>14</v>
      </c>
      <c r="F67" s="99" t="e">
        <f>+VLOOKUP(C67,'[1]CRUCE RIESGOS'!$F$4:$G$281,2,FALSE)</f>
        <v>#N/A</v>
      </c>
    </row>
    <row r="68" spans="1:6" ht="30" x14ac:dyDescent="0.2">
      <c r="A68" s="94" t="s">
        <v>7</v>
      </c>
      <c r="B68" s="98" t="s">
        <v>102</v>
      </c>
      <c r="C68" s="50" t="s">
        <v>119</v>
      </c>
      <c r="D68" s="104" t="s">
        <v>1837</v>
      </c>
      <c r="E68" s="104" t="s">
        <v>71</v>
      </c>
      <c r="F68" s="99" t="e">
        <f>+VLOOKUP(C68,'[1]CRUCE RIESGOS'!$F$4:$G$281,2,FALSE)</f>
        <v>#N/A</v>
      </c>
    </row>
    <row r="69" spans="1:6" ht="30" x14ac:dyDescent="0.2">
      <c r="A69" s="94" t="s">
        <v>7</v>
      </c>
      <c r="B69" s="98" t="s">
        <v>102</v>
      </c>
      <c r="C69" s="50" t="s">
        <v>120</v>
      </c>
      <c r="D69" s="104" t="s">
        <v>11</v>
      </c>
      <c r="E69" s="104" t="s">
        <v>1841</v>
      </c>
      <c r="F69" s="51" t="e">
        <f>+VLOOKUP(C69,'[1]CRUCE RIESGOS'!$F$4:$G$281,2,FALSE)</f>
        <v>#N/A</v>
      </c>
    </row>
    <row r="70" spans="1:6" ht="42.75" x14ac:dyDescent="0.2">
      <c r="A70" s="94" t="s">
        <v>7</v>
      </c>
      <c r="B70" s="98" t="s">
        <v>102</v>
      </c>
      <c r="C70" s="50" t="s">
        <v>121</v>
      </c>
      <c r="D70" s="104" t="s">
        <v>12</v>
      </c>
      <c r="E70" s="104" t="s">
        <v>40</v>
      </c>
      <c r="F70" s="51" t="e">
        <f>+VLOOKUP(C70,'[1]CRUCE RIESGOS'!$F$4:$G$281,2,FALSE)</f>
        <v>#N/A</v>
      </c>
    </row>
    <row r="71" spans="1:6" ht="42.75" x14ac:dyDescent="0.2">
      <c r="A71" s="94" t="s">
        <v>7</v>
      </c>
      <c r="B71" s="98" t="s">
        <v>102</v>
      </c>
      <c r="C71" s="50" t="s">
        <v>122</v>
      </c>
      <c r="D71" s="104" t="s">
        <v>12</v>
      </c>
      <c r="E71" s="104" t="s">
        <v>32</v>
      </c>
      <c r="F71" s="51" t="e">
        <f>+VLOOKUP(C71,'[1]CRUCE RIESGOS'!$F$4:$G$281,2,FALSE)</f>
        <v>#N/A</v>
      </c>
    </row>
    <row r="72" spans="1:6" ht="30" x14ac:dyDescent="0.2">
      <c r="A72" s="94" t="s">
        <v>7</v>
      </c>
      <c r="B72" s="98" t="s">
        <v>102</v>
      </c>
      <c r="C72" s="85" t="s">
        <v>123</v>
      </c>
      <c r="D72" s="104" t="s">
        <v>1837</v>
      </c>
      <c r="E72" s="104" t="s">
        <v>71</v>
      </c>
      <c r="F72" s="99" t="e">
        <f>+VLOOKUP(C72,'[1]CRUCE RIESGOS'!$F$4:$G$281,2,FALSE)</f>
        <v>#N/A</v>
      </c>
    </row>
    <row r="73" spans="1:6" ht="42.75" x14ac:dyDescent="0.2">
      <c r="A73" s="94" t="s">
        <v>7</v>
      </c>
      <c r="B73" s="98" t="s">
        <v>102</v>
      </c>
      <c r="C73" s="85" t="s">
        <v>124</v>
      </c>
      <c r="D73" s="104" t="s">
        <v>12</v>
      </c>
      <c r="E73" s="104" t="s">
        <v>1573</v>
      </c>
      <c r="F73" s="99" t="e">
        <f>+VLOOKUP(C73,'[1]CRUCE RIESGOS'!$F$4:$G$281,2,FALSE)</f>
        <v>#N/A</v>
      </c>
    </row>
    <row r="74" spans="1:6" ht="30" x14ac:dyDescent="0.2">
      <c r="A74" s="94" t="s">
        <v>7</v>
      </c>
      <c r="B74" s="98" t="s">
        <v>102</v>
      </c>
      <c r="C74" s="85" t="s">
        <v>125</v>
      </c>
      <c r="D74" s="104" t="s">
        <v>9</v>
      </c>
      <c r="E74" s="104" t="s">
        <v>26</v>
      </c>
      <c r="F74" s="51" t="e">
        <f>+VLOOKUP(C74,'[1]CRUCE RIESGOS'!$F$4:$G$281,2,FALSE)</f>
        <v>#N/A</v>
      </c>
    </row>
    <row r="75" spans="1:6" ht="42.75" x14ac:dyDescent="0.2">
      <c r="A75" s="94" t="s">
        <v>7</v>
      </c>
      <c r="B75" s="98" t="s">
        <v>102</v>
      </c>
      <c r="C75" s="141" t="s">
        <v>126</v>
      </c>
      <c r="D75" s="104" t="s">
        <v>12</v>
      </c>
      <c r="E75" s="104" t="s">
        <v>35</v>
      </c>
      <c r="F75" s="51"/>
    </row>
    <row r="76" spans="1:6" ht="42.75" x14ac:dyDescent="0.2">
      <c r="A76" s="94" t="s">
        <v>7</v>
      </c>
      <c r="B76" s="98" t="s">
        <v>102</v>
      </c>
      <c r="C76" s="85" t="s">
        <v>127</v>
      </c>
      <c r="D76" s="104" t="s">
        <v>12</v>
      </c>
      <c r="E76" s="104" t="s">
        <v>32</v>
      </c>
      <c r="F76" s="51" t="e">
        <f>+VLOOKUP(C76,'[1]CRUCE RIESGOS'!$F$4:$G$281,2,FALSE)</f>
        <v>#N/A</v>
      </c>
    </row>
    <row r="77" spans="1:6" ht="42.75" x14ac:dyDescent="0.2">
      <c r="A77" s="94" t="s">
        <v>7</v>
      </c>
      <c r="B77" s="98" t="s">
        <v>102</v>
      </c>
      <c r="C77" s="85" t="s">
        <v>1844</v>
      </c>
      <c r="D77" s="104" t="s">
        <v>1837</v>
      </c>
      <c r="E77" s="104" t="s">
        <v>70</v>
      </c>
      <c r="F77" s="51"/>
    </row>
    <row r="78" spans="1:6" ht="30" x14ac:dyDescent="0.2">
      <c r="A78" s="94" t="s">
        <v>7</v>
      </c>
      <c r="B78" s="98" t="s">
        <v>102</v>
      </c>
      <c r="C78" s="49" t="s">
        <v>1845</v>
      </c>
      <c r="D78" s="104" t="s">
        <v>9</v>
      </c>
      <c r="E78" s="104" t="s">
        <v>18</v>
      </c>
      <c r="F78" s="51"/>
    </row>
    <row r="79" spans="1:6" ht="30" x14ac:dyDescent="0.2">
      <c r="A79" s="94" t="s">
        <v>7</v>
      </c>
      <c r="B79" s="98" t="s">
        <v>139</v>
      </c>
      <c r="C79" s="85" t="s">
        <v>146</v>
      </c>
      <c r="D79" s="104" t="s">
        <v>9</v>
      </c>
      <c r="E79" s="104" t="s">
        <v>41</v>
      </c>
      <c r="F79" s="51"/>
    </row>
    <row r="80" spans="1:6" ht="42.75" x14ac:dyDescent="0.2">
      <c r="A80" s="94" t="s">
        <v>7</v>
      </c>
      <c r="B80" s="98" t="s">
        <v>139</v>
      </c>
      <c r="C80" s="50" t="s">
        <v>140</v>
      </c>
      <c r="D80" s="104" t="s">
        <v>12</v>
      </c>
      <c r="E80" s="104" t="s">
        <v>40</v>
      </c>
      <c r="F80" s="51" t="e">
        <f>+VLOOKUP(C80,'[1]CRUCE RIESGOS'!$F$4:$G$281,2,FALSE)</f>
        <v>#N/A</v>
      </c>
    </row>
    <row r="81" spans="1:6" ht="42.75" x14ac:dyDescent="0.2">
      <c r="A81" s="94" t="s">
        <v>7</v>
      </c>
      <c r="B81" s="98" t="s">
        <v>139</v>
      </c>
      <c r="C81" s="50" t="s">
        <v>141</v>
      </c>
      <c r="D81" s="104" t="s">
        <v>12</v>
      </c>
      <c r="E81" s="104" t="s">
        <v>32</v>
      </c>
      <c r="F81" s="51" t="e">
        <f>+VLOOKUP(C81,'[1]CRUCE RIESGOS'!$F$4:$G$281,2,FALSE)</f>
        <v>#N/A</v>
      </c>
    </row>
    <row r="82" spans="1:6" ht="30" x14ac:dyDescent="0.2">
      <c r="A82" s="94" t="s">
        <v>7</v>
      </c>
      <c r="B82" s="98" t="s">
        <v>139</v>
      </c>
      <c r="C82" s="85" t="s">
        <v>147</v>
      </c>
      <c r="D82" s="104" t="s">
        <v>9</v>
      </c>
      <c r="E82" s="104" t="s">
        <v>145</v>
      </c>
      <c r="F82" s="51" t="e">
        <f>+VLOOKUP(C82,'[1]CRUCE RIESGOS'!$F$4:$G$281,2,FALSE)</f>
        <v>#N/A</v>
      </c>
    </row>
    <row r="83" spans="1:6" ht="42.75" x14ac:dyDescent="0.2">
      <c r="A83" s="94" t="s">
        <v>7</v>
      </c>
      <c r="B83" s="98" t="s">
        <v>139</v>
      </c>
      <c r="C83" s="50" t="s">
        <v>148</v>
      </c>
      <c r="D83" s="104" t="s">
        <v>42</v>
      </c>
      <c r="E83" s="104" t="s">
        <v>43</v>
      </c>
      <c r="F83" s="51" t="e">
        <f>+VLOOKUP(C83,'[1]CRUCE RIESGOS'!$F$4:$G$281,2,FALSE)</f>
        <v>#N/A</v>
      </c>
    </row>
    <row r="84" spans="1:6" ht="30" x14ac:dyDescent="0.2">
      <c r="A84" s="94" t="s">
        <v>7</v>
      </c>
      <c r="B84" s="98" t="s">
        <v>139</v>
      </c>
      <c r="C84" s="85" t="s">
        <v>149</v>
      </c>
      <c r="D84" s="104" t="s">
        <v>11</v>
      </c>
      <c r="E84" s="104" t="s">
        <v>1841</v>
      </c>
      <c r="F84" s="51"/>
    </row>
    <row r="85" spans="1:6" ht="30" x14ac:dyDescent="0.2">
      <c r="A85" s="94" t="s">
        <v>7</v>
      </c>
      <c r="B85" s="98" t="s">
        <v>139</v>
      </c>
      <c r="C85" s="50" t="s">
        <v>150</v>
      </c>
      <c r="D85" s="104" t="s">
        <v>1837</v>
      </c>
      <c r="E85" s="104" t="s">
        <v>22</v>
      </c>
      <c r="F85" s="51" t="e">
        <f>+VLOOKUP(C85,'[1]CRUCE RIESGOS'!$F$4:$G$281,2,FALSE)</f>
        <v>#N/A</v>
      </c>
    </row>
    <row r="86" spans="1:6" ht="42.75" x14ac:dyDescent="0.2">
      <c r="A86" s="94" t="s">
        <v>7</v>
      </c>
      <c r="B86" s="98" t="s">
        <v>139</v>
      </c>
      <c r="C86" s="50" t="s">
        <v>151</v>
      </c>
      <c r="D86" s="104" t="s">
        <v>42</v>
      </c>
      <c r="E86" s="104" t="s">
        <v>143</v>
      </c>
      <c r="F86" s="99" t="e">
        <f>+VLOOKUP(C86,'[1]CRUCE RIESGOS'!$F$4:$G$281,2,FALSE)</f>
        <v>#N/A</v>
      </c>
    </row>
    <row r="87" spans="1:6" ht="42.75" x14ac:dyDescent="0.2">
      <c r="A87" s="94" t="s">
        <v>7</v>
      </c>
      <c r="B87" s="98" t="s">
        <v>139</v>
      </c>
      <c r="C87" s="50" t="s">
        <v>152</v>
      </c>
      <c r="D87" s="104" t="s">
        <v>9</v>
      </c>
      <c r="E87" s="104" t="s">
        <v>10</v>
      </c>
      <c r="F87" s="51" t="e">
        <f>+VLOOKUP(C87,'[1]CRUCE RIESGOS'!$F$4:$G$281,2,FALSE)</f>
        <v>#N/A</v>
      </c>
    </row>
    <row r="88" spans="1:6" ht="30" x14ac:dyDescent="0.2">
      <c r="A88" s="94" t="s">
        <v>7</v>
      </c>
      <c r="B88" s="98" t="s">
        <v>139</v>
      </c>
      <c r="C88" s="50" t="s">
        <v>153</v>
      </c>
      <c r="D88" s="104" t="s">
        <v>1837</v>
      </c>
      <c r="E88" s="104" t="s">
        <v>71</v>
      </c>
      <c r="F88" s="99" t="e">
        <f>+VLOOKUP(C88,'[1]CRUCE RIESGOS'!$F$4:$G$281,2,FALSE)</f>
        <v>#N/A</v>
      </c>
    </row>
    <row r="89" spans="1:6" ht="42.75" x14ac:dyDescent="0.2">
      <c r="A89" s="94" t="s">
        <v>7</v>
      </c>
      <c r="B89" s="98" t="s">
        <v>139</v>
      </c>
      <c r="C89" s="50" t="s">
        <v>154</v>
      </c>
      <c r="D89" s="104" t="s">
        <v>12</v>
      </c>
      <c r="E89" s="104" t="s">
        <v>35</v>
      </c>
      <c r="F89" s="51" t="e">
        <f>+VLOOKUP(C89,'[1]CRUCE RIESGOS'!$F$4:$G$281,2,FALSE)</f>
        <v>#N/A</v>
      </c>
    </row>
    <row r="90" spans="1:6" ht="30" x14ac:dyDescent="0.2">
      <c r="A90" s="94" t="s">
        <v>7</v>
      </c>
      <c r="B90" s="98" t="s">
        <v>139</v>
      </c>
      <c r="C90" s="50" t="s">
        <v>155</v>
      </c>
      <c r="D90" s="104" t="s">
        <v>1837</v>
      </c>
      <c r="E90" s="104" t="s">
        <v>22</v>
      </c>
      <c r="F90" s="51" t="e">
        <f>+VLOOKUP(C90,'[1]CRUCE RIESGOS'!$F$4:$G$281,2,FALSE)</f>
        <v>#N/A</v>
      </c>
    </row>
    <row r="91" spans="1:6" ht="42.75" x14ac:dyDescent="0.2">
      <c r="A91" s="94" t="s">
        <v>7</v>
      </c>
      <c r="B91" s="98" t="s">
        <v>139</v>
      </c>
      <c r="C91" s="50" t="s">
        <v>156</v>
      </c>
      <c r="D91" s="104" t="s">
        <v>12</v>
      </c>
      <c r="E91" s="104" t="s">
        <v>32</v>
      </c>
      <c r="F91" s="51" t="e">
        <f>+VLOOKUP(C91,'[1]CRUCE RIESGOS'!$F$4:$G$281,2,FALSE)</f>
        <v>#N/A</v>
      </c>
    </row>
    <row r="92" spans="1:6" ht="71.25" x14ac:dyDescent="0.2">
      <c r="A92" s="94" t="s">
        <v>7</v>
      </c>
      <c r="B92" s="98" t="s">
        <v>139</v>
      </c>
      <c r="C92" s="50" t="s">
        <v>157</v>
      </c>
      <c r="D92" s="104" t="s">
        <v>9</v>
      </c>
      <c r="E92" s="104" t="s">
        <v>18</v>
      </c>
      <c r="F92" s="51" t="e">
        <f>+VLOOKUP(C92,'[1]CRUCE RIESGOS'!$F$4:$G$281,2,FALSE)</f>
        <v>#VALUE!</v>
      </c>
    </row>
    <row r="93" spans="1:6" ht="30" x14ac:dyDescent="0.2">
      <c r="A93" s="94" t="s">
        <v>7</v>
      </c>
      <c r="B93" s="98" t="s">
        <v>139</v>
      </c>
      <c r="C93" s="141" t="s">
        <v>158</v>
      </c>
      <c r="D93" s="104" t="s">
        <v>9</v>
      </c>
      <c r="E93" s="104" t="s">
        <v>33</v>
      </c>
      <c r="F93" s="51"/>
    </row>
    <row r="94" spans="1:6" ht="30" x14ac:dyDescent="0.2">
      <c r="A94" s="94" t="s">
        <v>7</v>
      </c>
      <c r="B94" s="98" t="s">
        <v>139</v>
      </c>
      <c r="C94" s="85" t="s">
        <v>159</v>
      </c>
      <c r="D94" s="104" t="s">
        <v>1837</v>
      </c>
      <c r="E94" s="104" t="s">
        <v>56</v>
      </c>
      <c r="F94" s="51"/>
    </row>
    <row r="95" spans="1:6" ht="30" x14ac:dyDescent="0.2">
      <c r="A95" s="94" t="s">
        <v>7</v>
      </c>
      <c r="B95" s="98" t="s">
        <v>139</v>
      </c>
      <c r="C95" s="85" t="s">
        <v>160</v>
      </c>
      <c r="D95" s="104" t="s">
        <v>1837</v>
      </c>
      <c r="E95" s="104" t="s">
        <v>56</v>
      </c>
      <c r="F95" s="51"/>
    </row>
    <row r="96" spans="1:6" ht="30" x14ac:dyDescent="0.2">
      <c r="A96" s="94" t="s">
        <v>7</v>
      </c>
      <c r="B96" s="98" t="s">
        <v>139</v>
      </c>
      <c r="C96" s="85" t="s">
        <v>161</v>
      </c>
      <c r="D96" s="104" t="s">
        <v>1837</v>
      </c>
      <c r="E96" s="104" t="s">
        <v>138</v>
      </c>
      <c r="F96" s="51"/>
    </row>
    <row r="97" spans="1:6" s="91" customFormat="1" ht="106.5" customHeight="1" x14ac:dyDescent="0.2">
      <c r="A97" s="94" t="s">
        <v>7</v>
      </c>
      <c r="B97" s="98" t="s">
        <v>170</v>
      </c>
      <c r="C97" s="112" t="s">
        <v>175</v>
      </c>
      <c r="D97" s="104" t="s">
        <v>9</v>
      </c>
      <c r="E97" s="104" t="s">
        <v>33</v>
      </c>
      <c r="F97" s="99" t="e">
        <f>+VLOOKUP(C97,'[1]CRUCE RIESGOS'!$F$4:$G$281,2,FALSE)</f>
        <v>#N/A</v>
      </c>
    </row>
    <row r="98" spans="1:6" s="91" customFormat="1" ht="43.5" customHeight="1" x14ac:dyDescent="0.2">
      <c r="A98" s="94" t="s">
        <v>7</v>
      </c>
      <c r="B98" s="98" t="s">
        <v>170</v>
      </c>
      <c r="C98" s="112" t="s">
        <v>171</v>
      </c>
      <c r="D98" s="104" t="s">
        <v>12</v>
      </c>
      <c r="E98" s="104" t="s">
        <v>13</v>
      </c>
      <c r="F98" s="51" t="e">
        <f>+VLOOKUP(C98,'[1]CRUCE RIESGOS'!$F$4:$G$281,2,FALSE)</f>
        <v>#N/A</v>
      </c>
    </row>
    <row r="99" spans="1:6" s="91" customFormat="1" ht="74.25" customHeight="1" x14ac:dyDescent="0.2">
      <c r="A99" s="94" t="s">
        <v>7</v>
      </c>
      <c r="B99" s="98" t="s">
        <v>170</v>
      </c>
      <c r="C99" s="112" t="s">
        <v>176</v>
      </c>
      <c r="D99" s="104" t="s">
        <v>1837</v>
      </c>
      <c r="E99" s="104" t="s">
        <v>56</v>
      </c>
      <c r="F99" s="51" t="e">
        <f>+VLOOKUP(C99,'[1]CRUCE RIESGOS'!$F$4:$G$281,2,FALSE)</f>
        <v>#N/A</v>
      </c>
    </row>
    <row r="100" spans="1:6" s="91" customFormat="1" ht="63" customHeight="1" x14ac:dyDescent="0.2">
      <c r="A100" s="94" t="s">
        <v>7</v>
      </c>
      <c r="B100" s="98" t="s">
        <v>170</v>
      </c>
      <c r="C100" s="112" t="s">
        <v>177</v>
      </c>
      <c r="D100" s="104" t="s">
        <v>9</v>
      </c>
      <c r="E100" s="104" t="s">
        <v>33</v>
      </c>
      <c r="F100" s="99" t="e">
        <f>+VLOOKUP(C100,'[1]CRUCE RIESGOS'!$F$4:$G$281,2,FALSE)</f>
        <v>#N/A</v>
      </c>
    </row>
    <row r="101" spans="1:6" s="91" customFormat="1" ht="28.5" customHeight="1" x14ac:dyDescent="0.2">
      <c r="A101" s="94" t="s">
        <v>7</v>
      </c>
      <c r="B101" s="98" t="s">
        <v>170</v>
      </c>
      <c r="C101" s="112" t="s">
        <v>178</v>
      </c>
      <c r="D101" s="104" t="s">
        <v>11</v>
      </c>
      <c r="E101" s="104" t="s">
        <v>172</v>
      </c>
      <c r="F101" s="51" t="e">
        <f>+VLOOKUP(C101,'[1]CRUCE RIESGOS'!$F$4:$G$281,2,FALSE)</f>
        <v>#N/A</v>
      </c>
    </row>
    <row r="102" spans="1:6" s="91" customFormat="1" ht="45.75" customHeight="1" x14ac:dyDescent="0.2">
      <c r="A102" s="94" t="s">
        <v>7</v>
      </c>
      <c r="B102" s="98" t="s">
        <v>170</v>
      </c>
      <c r="C102" s="112" t="s">
        <v>179</v>
      </c>
      <c r="D102" s="104" t="s">
        <v>11</v>
      </c>
      <c r="E102" s="104" t="s">
        <v>142</v>
      </c>
      <c r="F102" s="51" t="e">
        <f>+VLOOKUP(C102,'[1]CRUCE RIESGOS'!$F$4:$G$281,2,FALSE)</f>
        <v>#N/A</v>
      </c>
    </row>
    <row r="103" spans="1:6" s="91" customFormat="1" ht="42.75" x14ac:dyDescent="0.2">
      <c r="A103" s="94" t="s">
        <v>7</v>
      </c>
      <c r="B103" s="98" t="s">
        <v>170</v>
      </c>
      <c r="C103" s="112" t="s">
        <v>180</v>
      </c>
      <c r="D103" s="104" t="s">
        <v>1837</v>
      </c>
      <c r="E103" s="104" t="s">
        <v>20</v>
      </c>
      <c r="F103" s="51" t="e">
        <f>+VLOOKUP(C103,'[1]CRUCE RIESGOS'!$F$4:$G$281,2,FALSE)</f>
        <v>#N/A</v>
      </c>
    </row>
    <row r="104" spans="1:6" s="91" customFormat="1" ht="23.25" customHeight="1" x14ac:dyDescent="0.2">
      <c r="A104" s="94" t="s">
        <v>7</v>
      </c>
      <c r="B104" s="98" t="s">
        <v>170</v>
      </c>
      <c r="C104" s="112" t="s">
        <v>181</v>
      </c>
      <c r="D104" s="104" t="s">
        <v>42</v>
      </c>
      <c r="E104" s="104" t="s">
        <v>43</v>
      </c>
      <c r="F104" s="51" t="e">
        <f>+VLOOKUP(C104,'[1]CRUCE RIESGOS'!$F$4:$G$281,2,FALSE)</f>
        <v>#N/A</v>
      </c>
    </row>
    <row r="105" spans="1:6" s="91" customFormat="1" ht="42" customHeight="1" x14ac:dyDescent="0.2">
      <c r="A105" s="94" t="s">
        <v>7</v>
      </c>
      <c r="B105" s="98" t="s">
        <v>170</v>
      </c>
      <c r="C105" s="112" t="s">
        <v>182</v>
      </c>
      <c r="D105" s="104" t="s">
        <v>42</v>
      </c>
      <c r="E105" s="104" t="s">
        <v>43</v>
      </c>
      <c r="F105" s="51" t="e">
        <f>+VLOOKUP(C105,'[1]CRUCE RIESGOS'!$F$4:$G$281,2,FALSE)</f>
        <v>#N/A</v>
      </c>
    </row>
    <row r="106" spans="1:6" s="91" customFormat="1" ht="43.5" customHeight="1" x14ac:dyDescent="0.2">
      <c r="A106" s="94" t="s">
        <v>7</v>
      </c>
      <c r="B106" s="98" t="s">
        <v>170</v>
      </c>
      <c r="C106" s="112" t="s">
        <v>183</v>
      </c>
      <c r="D106" s="104" t="s">
        <v>11</v>
      </c>
      <c r="E106" s="104" t="s">
        <v>172</v>
      </c>
      <c r="F106" s="51" t="e">
        <f>+VLOOKUP(C106,'[1]CRUCE RIESGOS'!$F$4:$G$281,2,FALSE)</f>
        <v>#N/A</v>
      </c>
    </row>
    <row r="107" spans="1:6" s="91" customFormat="1" ht="29.25" customHeight="1" x14ac:dyDescent="0.2">
      <c r="A107" s="94" t="s">
        <v>7</v>
      </c>
      <c r="B107" s="98" t="s">
        <v>170</v>
      </c>
      <c r="C107" s="112" t="s">
        <v>184</v>
      </c>
      <c r="D107" s="104" t="s">
        <v>11</v>
      </c>
      <c r="E107" s="104" t="s">
        <v>1841</v>
      </c>
      <c r="F107" s="51" t="e">
        <f>+VLOOKUP(C107,'[1]CRUCE RIESGOS'!$F$4:$G$281,2,FALSE)</f>
        <v>#N/A</v>
      </c>
    </row>
    <row r="108" spans="1:6" s="91" customFormat="1" ht="30" x14ac:dyDescent="0.2">
      <c r="A108" s="94" t="s">
        <v>7</v>
      </c>
      <c r="B108" s="98" t="s">
        <v>170</v>
      </c>
      <c r="C108" s="112" t="s">
        <v>185</v>
      </c>
      <c r="D108" s="104" t="s">
        <v>9</v>
      </c>
      <c r="E108" s="104" t="s">
        <v>41</v>
      </c>
      <c r="F108" s="51" t="e">
        <f>+VLOOKUP(C108,'[1]CRUCE RIESGOS'!$F$4:$G$281,2,FALSE)</f>
        <v>#N/A</v>
      </c>
    </row>
    <row r="109" spans="1:6" s="91" customFormat="1" ht="42.75" x14ac:dyDescent="0.2">
      <c r="A109" s="94" t="s">
        <v>7</v>
      </c>
      <c r="B109" s="98" t="s">
        <v>170</v>
      </c>
      <c r="C109" s="112" t="s">
        <v>186</v>
      </c>
      <c r="D109" s="104" t="s">
        <v>9</v>
      </c>
      <c r="E109" s="104" t="s">
        <v>10</v>
      </c>
      <c r="F109" s="51" t="e">
        <f>+VLOOKUP(C109,'[1]CRUCE RIESGOS'!$F$4:$G$281,2,FALSE)</f>
        <v>#N/A</v>
      </c>
    </row>
    <row r="110" spans="1:6" s="91" customFormat="1" ht="26.25" customHeight="1" x14ac:dyDescent="0.2">
      <c r="A110" s="94" t="s">
        <v>7</v>
      </c>
      <c r="B110" s="98" t="s">
        <v>170</v>
      </c>
      <c r="C110" s="112" t="s">
        <v>187</v>
      </c>
      <c r="D110" s="104" t="s">
        <v>1837</v>
      </c>
      <c r="E110" s="104" t="s">
        <v>62</v>
      </c>
      <c r="F110" s="51"/>
    </row>
    <row r="111" spans="1:6" s="91" customFormat="1" ht="53.25" customHeight="1" x14ac:dyDescent="0.2">
      <c r="A111" s="94" t="s">
        <v>7</v>
      </c>
      <c r="B111" s="98" t="s">
        <v>170</v>
      </c>
      <c r="C111" s="112" t="s">
        <v>188</v>
      </c>
      <c r="D111" s="104" t="s">
        <v>42</v>
      </c>
      <c r="E111" s="104" t="s">
        <v>43</v>
      </c>
      <c r="F111" s="51" t="e">
        <f>+VLOOKUP(C111,'[1]CRUCE RIESGOS'!$F$4:$G$281,2,FALSE)</f>
        <v>#N/A</v>
      </c>
    </row>
    <row r="112" spans="1:6" s="91" customFormat="1" ht="53.25" customHeight="1" x14ac:dyDescent="0.2">
      <c r="A112" s="94" t="s">
        <v>7</v>
      </c>
      <c r="B112" s="98" t="s">
        <v>191</v>
      </c>
      <c r="C112" s="50" t="s">
        <v>192</v>
      </c>
      <c r="D112" s="104" t="s">
        <v>9</v>
      </c>
      <c r="E112" s="104" t="s">
        <v>41</v>
      </c>
      <c r="F112" s="99" t="str">
        <f>+VLOOKUP(C112,'[1]CRUCE RIESGOS'!$F$4:$G$281,2,FALSE)</f>
        <v>Incumplimiento de las actuaciones propias de la Dirección de Control Disciplinario en contra del personal administrativo, docente y estudiantil.</v>
      </c>
    </row>
    <row r="113" spans="1:6" s="91" customFormat="1" ht="53.25" customHeight="1" x14ac:dyDescent="0.2">
      <c r="A113" s="94" t="s">
        <v>7</v>
      </c>
      <c r="B113" s="98" t="s">
        <v>191</v>
      </c>
      <c r="C113" s="50" t="s">
        <v>193</v>
      </c>
      <c r="D113" s="104" t="s">
        <v>1837</v>
      </c>
      <c r="E113" s="104" t="s">
        <v>22</v>
      </c>
      <c r="F113" s="51" t="e">
        <f>+VLOOKUP(C113,'[1]CRUCE RIESGOS'!$F$4:$G$281,2,FALSE)</f>
        <v>#N/A</v>
      </c>
    </row>
    <row r="114" spans="1:6" s="91" customFormat="1" ht="53.25" customHeight="1" x14ac:dyDescent="0.2">
      <c r="A114" s="94" t="s">
        <v>7</v>
      </c>
      <c r="B114" s="98" t="s">
        <v>191</v>
      </c>
      <c r="C114" s="50" t="s">
        <v>194</v>
      </c>
      <c r="D114" s="104" t="s">
        <v>9</v>
      </c>
      <c r="E114" s="104" t="s">
        <v>18</v>
      </c>
      <c r="F114" s="51" t="e">
        <f>+VLOOKUP(C114,'[1]CRUCE RIESGOS'!$F$4:$G$281,2,FALSE)</f>
        <v>#N/A</v>
      </c>
    </row>
    <row r="115" spans="1:6" ht="30" x14ac:dyDescent="0.2">
      <c r="A115" s="94" t="s">
        <v>7</v>
      </c>
      <c r="B115" s="98" t="s">
        <v>191</v>
      </c>
      <c r="C115" s="50" t="s">
        <v>195</v>
      </c>
      <c r="D115" s="104" t="s">
        <v>11</v>
      </c>
      <c r="E115" s="104" t="s">
        <v>172</v>
      </c>
      <c r="F115" s="51" t="e">
        <f>+VLOOKUP(C115,'[1]CRUCE RIESGOS'!$F$4:$G$281,2,FALSE)</f>
        <v>#N/A</v>
      </c>
    </row>
    <row r="116" spans="1:6" ht="30" x14ac:dyDescent="0.2">
      <c r="A116" s="94" t="s">
        <v>7</v>
      </c>
      <c r="B116" s="98" t="s">
        <v>191</v>
      </c>
      <c r="C116" s="50" t="s">
        <v>196</v>
      </c>
      <c r="D116" s="104" t="s">
        <v>11</v>
      </c>
      <c r="E116" s="104" t="s">
        <v>1639</v>
      </c>
      <c r="F116" s="51" t="e">
        <f>+VLOOKUP(C116,'[1]CRUCE RIESGOS'!$F$4:$G$281,2,FALSE)</f>
        <v>#N/A</v>
      </c>
    </row>
    <row r="117" spans="1:6" ht="30" x14ac:dyDescent="0.2">
      <c r="A117" s="94" t="s">
        <v>7</v>
      </c>
      <c r="B117" s="98" t="s">
        <v>191</v>
      </c>
      <c r="C117" s="85" t="s">
        <v>197</v>
      </c>
      <c r="D117" s="104" t="s">
        <v>9</v>
      </c>
      <c r="E117" s="104" t="s">
        <v>173</v>
      </c>
      <c r="F117" s="51" t="e">
        <f>+VLOOKUP(C117,'[1]CRUCE RIESGOS'!$F$4:$G$281,2,FALSE)</f>
        <v>#N/A</v>
      </c>
    </row>
    <row r="118" spans="1:6" ht="30" x14ac:dyDescent="0.2">
      <c r="A118" s="94" t="s">
        <v>7</v>
      </c>
      <c r="B118" s="98" t="s">
        <v>191</v>
      </c>
      <c r="C118" s="85" t="s">
        <v>198</v>
      </c>
      <c r="D118" s="104" t="s">
        <v>59</v>
      </c>
      <c r="E118" s="104" t="s">
        <v>60</v>
      </c>
      <c r="F118" s="51" t="e">
        <f>+VLOOKUP(C118,'[1]CRUCE RIESGOS'!$F$4:$G$281,2,FALSE)</f>
        <v>#N/A</v>
      </c>
    </row>
    <row r="119" spans="1:6" ht="30" x14ac:dyDescent="0.2">
      <c r="A119" s="94" t="s">
        <v>7</v>
      </c>
      <c r="B119" s="98" t="s">
        <v>191</v>
      </c>
      <c r="C119" s="85" t="s">
        <v>199</v>
      </c>
      <c r="D119" s="104" t="s">
        <v>16</v>
      </c>
      <c r="E119" s="104" t="s">
        <v>144</v>
      </c>
      <c r="F119" s="51" t="e">
        <f>+VLOOKUP(C119,'[1]CRUCE RIESGOS'!$F$4:$G$281,2,FALSE)</f>
        <v>#N/A</v>
      </c>
    </row>
    <row r="120" spans="1:6" ht="30" x14ac:dyDescent="0.2">
      <c r="A120" s="94" t="s">
        <v>7</v>
      </c>
      <c r="B120" s="98" t="s">
        <v>191</v>
      </c>
      <c r="C120" s="85" t="s">
        <v>200</v>
      </c>
      <c r="D120" s="104" t="s">
        <v>9</v>
      </c>
      <c r="E120" s="104" t="s">
        <v>18</v>
      </c>
      <c r="F120" s="51"/>
    </row>
    <row r="121" spans="1:6" ht="42.75" x14ac:dyDescent="0.2">
      <c r="A121" s="94" t="s">
        <v>7</v>
      </c>
      <c r="B121" s="98" t="s">
        <v>208</v>
      </c>
      <c r="C121" s="50" t="s">
        <v>209</v>
      </c>
      <c r="D121" s="104" t="s">
        <v>12</v>
      </c>
      <c r="E121" s="104" t="s">
        <v>13</v>
      </c>
      <c r="F121" s="51" t="e">
        <f>+VLOOKUP(C121,'[1]CRUCE RIESGOS'!$F$4:$G$281,2,FALSE)</f>
        <v>#N/A</v>
      </c>
    </row>
    <row r="122" spans="1:6" ht="30" x14ac:dyDescent="0.2">
      <c r="A122" s="94" t="s">
        <v>7</v>
      </c>
      <c r="B122" s="98" t="s">
        <v>208</v>
      </c>
      <c r="C122" s="50" t="s">
        <v>210</v>
      </c>
      <c r="D122" s="104" t="s">
        <v>1837</v>
      </c>
      <c r="E122" s="104" t="s">
        <v>1846</v>
      </c>
      <c r="F122" s="51" t="e">
        <f>+VLOOKUP(C122,'[1]CRUCE RIESGOS'!$F$4:$G$281,2,FALSE)</f>
        <v>#N/A</v>
      </c>
    </row>
    <row r="123" spans="1:6" ht="42.75" x14ac:dyDescent="0.2">
      <c r="A123" s="94" t="s">
        <v>7</v>
      </c>
      <c r="B123" s="98" t="s">
        <v>208</v>
      </c>
      <c r="C123" s="114" t="s">
        <v>212</v>
      </c>
      <c r="D123" s="104" t="s">
        <v>12</v>
      </c>
      <c r="E123" s="104" t="s">
        <v>32</v>
      </c>
      <c r="F123" s="51" t="e">
        <f>+VLOOKUP(C123,'[1]CRUCE RIESGOS'!$F$4:$G$281,2,FALSE)</f>
        <v>#N/A</v>
      </c>
    </row>
    <row r="124" spans="1:6" ht="30" x14ac:dyDescent="0.2">
      <c r="A124" s="94" t="s">
        <v>7</v>
      </c>
      <c r="B124" s="98" t="s">
        <v>208</v>
      </c>
      <c r="C124" s="112" t="s">
        <v>213</v>
      </c>
      <c r="D124" s="104" t="s">
        <v>1837</v>
      </c>
      <c r="E124" s="104" t="s">
        <v>62</v>
      </c>
      <c r="F124" s="51" t="e">
        <f>+VLOOKUP(C124,'[1]CRUCE RIESGOS'!$F$4:$G$281,2,FALSE)</f>
        <v>#N/A</v>
      </c>
    </row>
    <row r="125" spans="1:6" ht="42.75" x14ac:dyDescent="0.2">
      <c r="A125" s="94" t="s">
        <v>7</v>
      </c>
      <c r="B125" s="98" t="s">
        <v>208</v>
      </c>
      <c r="C125" s="112" t="s">
        <v>214</v>
      </c>
      <c r="D125" s="104" t="s">
        <v>9</v>
      </c>
      <c r="E125" s="104" t="s">
        <v>18</v>
      </c>
      <c r="F125" s="51" t="e">
        <f>+VLOOKUP(C125,'[1]CRUCE RIESGOS'!$F$4:$G$281,2,FALSE)</f>
        <v>#N/A</v>
      </c>
    </row>
    <row r="126" spans="1:6" ht="30" x14ac:dyDescent="0.2">
      <c r="A126" s="94" t="s">
        <v>7</v>
      </c>
      <c r="B126" s="98" t="s">
        <v>208</v>
      </c>
      <c r="C126" s="112" t="s">
        <v>215</v>
      </c>
      <c r="D126" s="104" t="s">
        <v>1837</v>
      </c>
      <c r="E126" s="104" t="s">
        <v>22</v>
      </c>
      <c r="F126" s="51" t="e">
        <f>+VLOOKUP(C126,'[1]CRUCE RIESGOS'!$F$4:$G$281,2,FALSE)</f>
        <v>#N/A</v>
      </c>
    </row>
    <row r="127" spans="1:6" ht="30" x14ac:dyDescent="0.2">
      <c r="A127" s="94" t="s">
        <v>7</v>
      </c>
      <c r="B127" s="98" t="s">
        <v>208</v>
      </c>
      <c r="C127" s="112" t="s">
        <v>216</v>
      </c>
      <c r="D127" s="104" t="s">
        <v>1837</v>
      </c>
      <c r="E127" s="104" t="s">
        <v>138</v>
      </c>
      <c r="F127" s="51" t="e">
        <f>+VLOOKUP(C127,'[1]CRUCE RIESGOS'!$F$4:$G$281,2,FALSE)</f>
        <v>#N/A</v>
      </c>
    </row>
    <row r="128" spans="1:6" ht="30" x14ac:dyDescent="0.2">
      <c r="A128" s="94" t="s">
        <v>7</v>
      </c>
      <c r="B128" s="98" t="s">
        <v>208</v>
      </c>
      <c r="C128" s="114" t="s">
        <v>217</v>
      </c>
      <c r="D128" s="104" t="s">
        <v>9</v>
      </c>
      <c r="E128" s="104" t="s">
        <v>33</v>
      </c>
      <c r="F128" s="51" t="e">
        <f>+VLOOKUP(C128,'[1]CRUCE RIESGOS'!$F$4:$G$281,2,FALSE)</f>
        <v>#N/A</v>
      </c>
    </row>
    <row r="129" spans="1:6" ht="42.75" x14ac:dyDescent="0.2">
      <c r="A129" s="94" t="s">
        <v>7</v>
      </c>
      <c r="B129" s="98" t="s">
        <v>208</v>
      </c>
      <c r="C129" s="114" t="s">
        <v>218</v>
      </c>
      <c r="D129" s="104" t="s">
        <v>1837</v>
      </c>
      <c r="E129" s="104" t="s">
        <v>56</v>
      </c>
      <c r="F129" s="99" t="e">
        <f>+VLOOKUP(C129,'[1]CRUCE RIESGOS'!$F$4:$G$281,2,FALSE)</f>
        <v>#N/A</v>
      </c>
    </row>
    <row r="130" spans="1:6" ht="42.75" x14ac:dyDescent="0.2">
      <c r="A130" s="94" t="s">
        <v>7</v>
      </c>
      <c r="B130" s="98" t="s">
        <v>208</v>
      </c>
      <c r="C130" s="112" t="s">
        <v>219</v>
      </c>
      <c r="D130" s="104" t="s">
        <v>12</v>
      </c>
      <c r="E130" s="104" t="s">
        <v>13</v>
      </c>
      <c r="F130" s="51" t="e">
        <f>+VLOOKUP(C130,'[1]CRUCE RIESGOS'!$F$4:$G$281,2,FALSE)</f>
        <v>#N/A</v>
      </c>
    </row>
    <row r="131" spans="1:6" ht="30" x14ac:dyDescent="0.2">
      <c r="A131" s="94" t="s">
        <v>7</v>
      </c>
      <c r="B131" s="98" t="s">
        <v>208</v>
      </c>
      <c r="C131" s="114" t="s">
        <v>220</v>
      </c>
      <c r="D131" s="104" t="s">
        <v>11</v>
      </c>
      <c r="E131" s="104" t="s">
        <v>1639</v>
      </c>
      <c r="F131" s="51" t="e">
        <f>+VLOOKUP(C131,'[1]CRUCE RIESGOS'!$F$4:$G$281,2,FALSE)</f>
        <v>#N/A</v>
      </c>
    </row>
    <row r="132" spans="1:6" ht="30" x14ac:dyDescent="0.2">
      <c r="A132" s="94" t="s">
        <v>7</v>
      </c>
      <c r="B132" s="98" t="s">
        <v>208</v>
      </c>
      <c r="C132" s="112" t="s">
        <v>221</v>
      </c>
      <c r="D132" s="104" t="s">
        <v>16</v>
      </c>
      <c r="E132" s="104" t="s">
        <v>17</v>
      </c>
      <c r="F132" s="51" t="e">
        <f>+VLOOKUP(C132,'[1]CRUCE RIESGOS'!$F$4:$G$281,2,FALSE)</f>
        <v>#N/A</v>
      </c>
    </row>
    <row r="133" spans="1:6" ht="60" x14ac:dyDescent="0.2">
      <c r="A133" s="94" t="s">
        <v>7</v>
      </c>
      <c r="B133" s="98" t="s">
        <v>237</v>
      </c>
      <c r="C133" s="50" t="s">
        <v>238</v>
      </c>
      <c r="D133" s="104" t="s">
        <v>9</v>
      </c>
      <c r="E133" s="104" t="s">
        <v>41</v>
      </c>
      <c r="F133" s="51" t="e">
        <f>+VLOOKUP(C133,'[1]CRUCE RIESGOS'!$F$4:$G$281,2,FALSE)</f>
        <v>#N/A</v>
      </c>
    </row>
    <row r="134" spans="1:6" ht="60" x14ac:dyDescent="0.2">
      <c r="A134" s="94" t="s">
        <v>7</v>
      </c>
      <c r="B134" s="98" t="s">
        <v>237</v>
      </c>
      <c r="C134" s="50" t="s">
        <v>239</v>
      </c>
      <c r="D134" s="104" t="s">
        <v>1837</v>
      </c>
      <c r="E134" s="104" t="s">
        <v>20</v>
      </c>
      <c r="F134" s="51" t="e">
        <f>+VLOOKUP(C134,'[1]CRUCE RIESGOS'!$F$4:$G$281,2,FALSE)</f>
        <v>#N/A</v>
      </c>
    </row>
    <row r="135" spans="1:6" ht="60" x14ac:dyDescent="0.2">
      <c r="A135" s="94" t="s">
        <v>7</v>
      </c>
      <c r="B135" s="98" t="s">
        <v>237</v>
      </c>
      <c r="C135" s="50" t="s">
        <v>243</v>
      </c>
      <c r="D135" s="104" t="s">
        <v>9</v>
      </c>
      <c r="E135" s="104" t="s">
        <v>173</v>
      </c>
      <c r="F135" s="51" t="e">
        <f>+VLOOKUP(C135,'[1]CRUCE RIESGOS'!$F$4:$G$281,2,FALSE)</f>
        <v>#N/A</v>
      </c>
    </row>
    <row r="136" spans="1:6" ht="60" x14ac:dyDescent="0.2">
      <c r="A136" s="94" t="s">
        <v>7</v>
      </c>
      <c r="B136" s="98" t="s">
        <v>237</v>
      </c>
      <c r="C136" s="50" t="s">
        <v>240</v>
      </c>
      <c r="D136" s="104" t="s">
        <v>12</v>
      </c>
      <c r="E136" s="104" t="s">
        <v>1573</v>
      </c>
      <c r="F136" s="51" t="e">
        <f>+VLOOKUP(C136,'[1]CRUCE RIESGOS'!$F$4:$G$281,2,FALSE)</f>
        <v>#N/A</v>
      </c>
    </row>
    <row r="137" spans="1:6" ht="60" x14ac:dyDescent="0.2">
      <c r="A137" s="94" t="s">
        <v>7</v>
      </c>
      <c r="B137" s="98" t="s">
        <v>237</v>
      </c>
      <c r="C137" s="85" t="s">
        <v>241</v>
      </c>
      <c r="D137" s="104" t="s">
        <v>1837</v>
      </c>
      <c r="E137" s="104" t="s">
        <v>22</v>
      </c>
      <c r="F137" s="51" t="e">
        <f>+VLOOKUP(C137,'[1]CRUCE RIESGOS'!$F$4:$G$281,2,FALSE)</f>
        <v>#N/A</v>
      </c>
    </row>
    <row r="138" spans="1:6" ht="60" x14ac:dyDescent="0.2">
      <c r="A138" s="94" t="s">
        <v>7</v>
      </c>
      <c r="B138" s="98" t="s">
        <v>237</v>
      </c>
      <c r="C138" s="50" t="s">
        <v>242</v>
      </c>
      <c r="D138" s="104" t="s">
        <v>11</v>
      </c>
      <c r="E138" s="104" t="s">
        <v>1639</v>
      </c>
      <c r="F138" s="51" t="e">
        <f>+VLOOKUP(C138,'[1]CRUCE RIESGOS'!$F$4:$G$281,2,FALSE)</f>
        <v>#N/A</v>
      </c>
    </row>
    <row r="139" spans="1:6" ht="71.25" x14ac:dyDescent="0.2">
      <c r="A139" s="94" t="s">
        <v>7</v>
      </c>
      <c r="B139" s="98" t="s">
        <v>237</v>
      </c>
      <c r="C139" s="50" t="s">
        <v>244</v>
      </c>
      <c r="D139" s="104" t="s">
        <v>42</v>
      </c>
      <c r="E139" s="104" t="s">
        <v>143</v>
      </c>
      <c r="F139" s="51" t="e">
        <f>+VLOOKUP(C139,'[1]CRUCE RIESGOS'!$F$4:$G$281,2,FALSE)</f>
        <v>#VALUE!</v>
      </c>
    </row>
    <row r="140" spans="1:6" ht="60" x14ac:dyDescent="0.2">
      <c r="A140" s="94" t="s">
        <v>7</v>
      </c>
      <c r="B140" s="98" t="s">
        <v>237</v>
      </c>
      <c r="C140" s="50" t="s">
        <v>245</v>
      </c>
      <c r="D140" s="104" t="s">
        <v>9</v>
      </c>
      <c r="E140" s="104" t="s">
        <v>33</v>
      </c>
      <c r="F140" s="51"/>
    </row>
    <row r="141" spans="1:6" ht="30" x14ac:dyDescent="0.2">
      <c r="A141" s="94" t="s">
        <v>7</v>
      </c>
      <c r="B141" s="98" t="s">
        <v>246</v>
      </c>
      <c r="C141" s="50" t="s">
        <v>247</v>
      </c>
      <c r="D141" s="104" t="s">
        <v>9</v>
      </c>
      <c r="E141" s="104" t="s">
        <v>33</v>
      </c>
      <c r="F141" s="51" t="e">
        <f>+VLOOKUP(C141,'[1]CRUCE RIESGOS'!$F$4:$G$281,2,FALSE)</f>
        <v>#N/A</v>
      </c>
    </row>
    <row r="142" spans="1:6" ht="42.75" x14ac:dyDescent="0.2">
      <c r="A142" s="94" t="s">
        <v>7</v>
      </c>
      <c r="B142" s="98" t="s">
        <v>246</v>
      </c>
      <c r="C142" s="50" t="s">
        <v>248</v>
      </c>
      <c r="D142" s="104" t="s">
        <v>12</v>
      </c>
      <c r="E142" s="104" t="s">
        <v>211</v>
      </c>
      <c r="F142" s="51" t="e">
        <f>+VLOOKUP(C142,'[1]CRUCE RIESGOS'!$F$4:$G$281,2,FALSE)</f>
        <v>#N/A</v>
      </c>
    </row>
    <row r="143" spans="1:6" ht="42.75" x14ac:dyDescent="0.2">
      <c r="A143" s="94" t="s">
        <v>7</v>
      </c>
      <c r="B143" s="98" t="s">
        <v>246</v>
      </c>
      <c r="C143" s="50" t="s">
        <v>249</v>
      </c>
      <c r="D143" s="104" t="s">
        <v>12</v>
      </c>
      <c r="E143" s="104" t="s">
        <v>32</v>
      </c>
      <c r="F143" s="51" t="e">
        <f>+VLOOKUP(C143,'[1]CRUCE RIESGOS'!$F$4:$G$281,2,FALSE)</f>
        <v>#N/A</v>
      </c>
    </row>
    <row r="144" spans="1:6" ht="42.75" x14ac:dyDescent="0.2">
      <c r="A144" s="94" t="s">
        <v>7</v>
      </c>
      <c r="B144" s="98" t="s">
        <v>246</v>
      </c>
      <c r="C144" s="50" t="s">
        <v>250</v>
      </c>
      <c r="D144" s="104" t="s">
        <v>12</v>
      </c>
      <c r="E144" s="104" t="s">
        <v>169</v>
      </c>
      <c r="F144" s="99" t="e">
        <f>+VLOOKUP(C144,'[1]CRUCE RIESGOS'!$F$4:$G$281,2,FALSE)</f>
        <v>#N/A</v>
      </c>
    </row>
    <row r="145" spans="1:6" ht="30" x14ac:dyDescent="0.2">
      <c r="A145" s="94" t="s">
        <v>7</v>
      </c>
      <c r="B145" s="98" t="s">
        <v>246</v>
      </c>
      <c r="C145" s="50" t="s">
        <v>251</v>
      </c>
      <c r="D145" s="104" t="s">
        <v>1837</v>
      </c>
      <c r="E145" s="104" t="s">
        <v>70</v>
      </c>
      <c r="F145" s="99" t="e">
        <f>+VLOOKUP(C145,'[1]CRUCE RIESGOS'!$F$4:$G$281,2,FALSE)</f>
        <v>#N/A</v>
      </c>
    </row>
    <row r="146" spans="1:6" ht="30" x14ac:dyDescent="0.2">
      <c r="A146" s="94" t="s">
        <v>7</v>
      </c>
      <c r="B146" s="98" t="s">
        <v>246</v>
      </c>
      <c r="C146" s="50" t="s">
        <v>252</v>
      </c>
      <c r="D146" s="104" t="s">
        <v>59</v>
      </c>
      <c r="E146" s="104" t="s">
        <v>60</v>
      </c>
      <c r="F146" s="51" t="e">
        <f>+VLOOKUP(C146,'[1]CRUCE RIESGOS'!$F$4:$G$281,2,FALSE)</f>
        <v>#N/A</v>
      </c>
    </row>
    <row r="147" spans="1:6" ht="42.75" x14ac:dyDescent="0.2">
      <c r="A147" s="94" t="s">
        <v>7</v>
      </c>
      <c r="B147" s="98" t="s">
        <v>246</v>
      </c>
      <c r="C147" s="50" t="s">
        <v>253</v>
      </c>
      <c r="D147" s="104" t="s">
        <v>12</v>
      </c>
      <c r="E147" s="104" t="s">
        <v>32</v>
      </c>
      <c r="F147" s="51" t="e">
        <f>+VLOOKUP(C147,'[1]CRUCE RIESGOS'!$F$4:$G$281,2,FALSE)</f>
        <v>#N/A</v>
      </c>
    </row>
    <row r="148" spans="1:6" ht="42.75" x14ac:dyDescent="0.2">
      <c r="A148" s="94" t="s">
        <v>7</v>
      </c>
      <c r="B148" s="98" t="s">
        <v>246</v>
      </c>
      <c r="C148" s="50" t="s">
        <v>254</v>
      </c>
      <c r="D148" s="104" t="s">
        <v>12</v>
      </c>
      <c r="E148" s="104" t="s">
        <v>32</v>
      </c>
      <c r="F148" s="51" t="e">
        <f>+VLOOKUP(C148,'[1]CRUCE RIESGOS'!$F$4:$G$281,2,FALSE)</f>
        <v>#N/A</v>
      </c>
    </row>
    <row r="149" spans="1:6" ht="30" x14ac:dyDescent="0.2">
      <c r="A149" s="94" t="s">
        <v>7</v>
      </c>
      <c r="B149" s="98" t="s">
        <v>246</v>
      </c>
      <c r="C149" s="50" t="s">
        <v>1847</v>
      </c>
      <c r="D149" s="104" t="s">
        <v>9</v>
      </c>
      <c r="E149" s="104" t="s">
        <v>18</v>
      </c>
      <c r="F149" s="51" t="e">
        <f>+VLOOKUP(C149,'[1]CRUCE RIESGOS'!$F$4:$G$281,2,FALSE)</f>
        <v>#N/A</v>
      </c>
    </row>
    <row r="150" spans="1:6" ht="30" x14ac:dyDescent="0.2">
      <c r="A150" s="94" t="s">
        <v>7</v>
      </c>
      <c r="B150" s="98" t="s">
        <v>246</v>
      </c>
      <c r="C150" s="50" t="s">
        <v>255</v>
      </c>
      <c r="D150" s="104" t="s">
        <v>1837</v>
      </c>
      <c r="E150" s="104" t="s">
        <v>20</v>
      </c>
      <c r="F150" s="99" t="e">
        <f>+VLOOKUP(C150,'[1]CRUCE RIESGOS'!$F$4:$G$281,2,FALSE)</f>
        <v>#N/A</v>
      </c>
    </row>
    <row r="151" spans="1:6" ht="42.75" x14ac:dyDescent="0.2">
      <c r="A151" s="94" t="s">
        <v>7</v>
      </c>
      <c r="B151" s="98" t="s">
        <v>246</v>
      </c>
      <c r="C151" s="85" t="s">
        <v>256</v>
      </c>
      <c r="D151" s="104" t="s">
        <v>11</v>
      </c>
      <c r="E151" s="104" t="s">
        <v>1841</v>
      </c>
      <c r="F151" s="51" t="e">
        <f>+VLOOKUP(C151,'[1]CRUCE RIESGOS'!$F$4:$G$281,2,FALSE)</f>
        <v>#N/A</v>
      </c>
    </row>
    <row r="152" spans="1:6" ht="42.75" x14ac:dyDescent="0.2">
      <c r="A152" s="94" t="s">
        <v>7</v>
      </c>
      <c r="B152" s="98" t="s">
        <v>246</v>
      </c>
      <c r="C152" s="85" t="s">
        <v>257</v>
      </c>
      <c r="D152" s="104" t="s">
        <v>12</v>
      </c>
      <c r="E152" s="104" t="s">
        <v>13</v>
      </c>
      <c r="F152" s="99" t="e">
        <f>+VLOOKUP(C152,'[1]CRUCE RIESGOS'!$F$4:$G$281,2,FALSE)</f>
        <v>#N/A</v>
      </c>
    </row>
    <row r="153" spans="1:6" ht="30" x14ac:dyDescent="0.2">
      <c r="A153" s="94" t="s">
        <v>7</v>
      </c>
      <c r="B153" s="120" t="s">
        <v>246</v>
      </c>
      <c r="C153" s="85" t="s">
        <v>258</v>
      </c>
      <c r="D153" s="104" t="s">
        <v>9</v>
      </c>
      <c r="E153" s="104" t="s">
        <v>173</v>
      </c>
      <c r="F153" s="51" t="e">
        <f>+VLOOKUP(C153,'[1]CRUCE RIESGOS'!$F$4:$G$281,2,FALSE)</f>
        <v>#N/A</v>
      </c>
    </row>
    <row r="154" spans="1:6" ht="30" x14ac:dyDescent="0.2">
      <c r="A154" s="94" t="s">
        <v>7</v>
      </c>
      <c r="B154" s="120" t="s">
        <v>246</v>
      </c>
      <c r="C154" s="85" t="s">
        <v>259</v>
      </c>
      <c r="D154" s="104" t="s">
        <v>1837</v>
      </c>
      <c r="E154" s="104" t="s">
        <v>22</v>
      </c>
      <c r="F154" s="56"/>
    </row>
    <row r="155" spans="1:6" ht="54.75" customHeight="1" x14ac:dyDescent="0.2">
      <c r="A155" s="94" t="s">
        <v>7</v>
      </c>
      <c r="B155" s="120" t="s">
        <v>246</v>
      </c>
      <c r="C155" s="85" t="s">
        <v>260</v>
      </c>
      <c r="D155" s="104" t="s">
        <v>16</v>
      </c>
      <c r="E155" s="104" t="s">
        <v>17</v>
      </c>
      <c r="F155" s="56"/>
    </row>
    <row r="156" spans="1:6" ht="42.75" x14ac:dyDescent="0.2">
      <c r="A156" s="94" t="s">
        <v>7</v>
      </c>
      <c r="B156" s="120" t="s">
        <v>246</v>
      </c>
      <c r="C156" s="85" t="s">
        <v>261</v>
      </c>
      <c r="D156" s="104" t="s">
        <v>12</v>
      </c>
      <c r="E156" s="104" t="s">
        <v>13</v>
      </c>
      <c r="F156" s="56"/>
    </row>
    <row r="157" spans="1:6" ht="30" x14ac:dyDescent="0.2">
      <c r="A157" s="94" t="s">
        <v>7</v>
      </c>
      <c r="B157" s="120" t="s">
        <v>246</v>
      </c>
      <c r="C157" s="50" t="s">
        <v>262</v>
      </c>
      <c r="D157" s="104" t="s">
        <v>1837</v>
      </c>
      <c r="E157" s="104" t="s">
        <v>138</v>
      </c>
      <c r="F157" s="51"/>
    </row>
    <row r="158" spans="1:6" ht="42.75" x14ac:dyDescent="0.2">
      <c r="A158" s="94" t="s">
        <v>7</v>
      </c>
      <c r="B158" s="98" t="s">
        <v>279</v>
      </c>
      <c r="C158" s="86" t="s">
        <v>280</v>
      </c>
      <c r="D158" s="104" t="s">
        <v>12</v>
      </c>
      <c r="E158" s="104" t="s">
        <v>13</v>
      </c>
      <c r="F158" s="51" t="e">
        <f>+VLOOKUP(C158,'[1]CRUCE RIESGOS'!$F$4:$G$281,2,FALSE)</f>
        <v>#N/A</v>
      </c>
    </row>
    <row r="159" spans="1:6" ht="30" x14ac:dyDescent="0.2">
      <c r="A159" s="94" t="s">
        <v>7</v>
      </c>
      <c r="B159" s="98" t="s">
        <v>279</v>
      </c>
      <c r="C159" s="100" t="s">
        <v>281</v>
      </c>
      <c r="D159" s="104" t="s">
        <v>1837</v>
      </c>
      <c r="E159" s="104" t="s">
        <v>70</v>
      </c>
      <c r="F159" s="99" t="e">
        <f>+VLOOKUP(C159,'[1]CRUCE RIESGOS'!$F$4:$G$281,2,FALSE)</f>
        <v>#N/A</v>
      </c>
    </row>
    <row r="160" spans="1:6" ht="42.75" x14ac:dyDescent="0.2">
      <c r="A160" s="94" t="s">
        <v>7</v>
      </c>
      <c r="B160" s="98" t="s">
        <v>279</v>
      </c>
      <c r="C160" s="121" t="s">
        <v>282</v>
      </c>
      <c r="D160" s="104" t="s">
        <v>1837</v>
      </c>
      <c r="E160" s="104" t="s">
        <v>107</v>
      </c>
      <c r="F160" s="99" t="e">
        <f>+VLOOKUP(C160,'[1]CRUCE RIESGOS'!$F$4:$G$281,2,FALSE)</f>
        <v>#N/A</v>
      </c>
    </row>
    <row r="161" spans="1:6" ht="30" x14ac:dyDescent="0.2">
      <c r="A161" s="94" t="s">
        <v>7</v>
      </c>
      <c r="B161" s="98" t="s">
        <v>279</v>
      </c>
      <c r="C161" s="101" t="s">
        <v>283</v>
      </c>
      <c r="D161" s="104" t="s">
        <v>1837</v>
      </c>
      <c r="E161" s="104" t="s">
        <v>14</v>
      </c>
      <c r="F161" s="51" t="e">
        <f>+VLOOKUP(C161,'[1]CRUCE RIESGOS'!$F$4:$G$281,2,FALSE)</f>
        <v>#N/A</v>
      </c>
    </row>
    <row r="162" spans="1:6" ht="71.25" x14ac:dyDescent="0.2">
      <c r="A162" s="94" t="s">
        <v>7</v>
      </c>
      <c r="B162" s="98" t="s">
        <v>279</v>
      </c>
      <c r="C162" s="86" t="s">
        <v>284</v>
      </c>
      <c r="D162" s="104" t="s">
        <v>12</v>
      </c>
      <c r="E162" s="104" t="s">
        <v>35</v>
      </c>
      <c r="F162" s="51" t="e">
        <f>+VLOOKUP(C162,'[1]CRUCE RIESGOS'!$F$4:$G$281,2,FALSE)</f>
        <v>#VALUE!</v>
      </c>
    </row>
    <row r="163" spans="1:6" ht="42.75" x14ac:dyDescent="0.2">
      <c r="A163" s="94" t="s">
        <v>7</v>
      </c>
      <c r="B163" s="98" t="s">
        <v>279</v>
      </c>
      <c r="C163" s="86" t="s">
        <v>285</v>
      </c>
      <c r="D163" s="104" t="s">
        <v>12</v>
      </c>
      <c r="E163" s="104" t="s">
        <v>32</v>
      </c>
      <c r="F163" s="99" t="e">
        <f>+VLOOKUP(C163,'[1]CRUCE RIESGOS'!$F$4:$G$281,2,FALSE)</f>
        <v>#N/A</v>
      </c>
    </row>
    <row r="164" spans="1:6" ht="42.75" x14ac:dyDescent="0.2">
      <c r="A164" s="94" t="s">
        <v>7</v>
      </c>
      <c r="B164" s="98" t="s">
        <v>279</v>
      </c>
      <c r="C164" s="86" t="s">
        <v>1848</v>
      </c>
      <c r="D164" s="104" t="s">
        <v>12</v>
      </c>
      <c r="E164" s="104" t="s">
        <v>32</v>
      </c>
      <c r="F164" s="99" t="e">
        <f>+VLOOKUP(C164,'[1]CRUCE RIESGOS'!$F$4:$G$281,2,FALSE)</f>
        <v>#N/A</v>
      </c>
    </row>
    <row r="165" spans="1:6" ht="30" x14ac:dyDescent="0.2">
      <c r="A165" s="94" t="s">
        <v>7</v>
      </c>
      <c r="B165" s="98" t="s">
        <v>279</v>
      </c>
      <c r="C165" s="85" t="s">
        <v>286</v>
      </c>
      <c r="D165" s="104" t="s">
        <v>9</v>
      </c>
      <c r="E165" s="104" t="s">
        <v>18</v>
      </c>
      <c r="F165" s="51" t="e">
        <f>+VLOOKUP(C165,'[1]CRUCE RIESGOS'!$F$4:$G$281,2,FALSE)</f>
        <v>#N/A</v>
      </c>
    </row>
    <row r="166" spans="1:6" ht="30" x14ac:dyDescent="0.2">
      <c r="A166" s="94" t="s">
        <v>7</v>
      </c>
      <c r="B166" s="98" t="s">
        <v>279</v>
      </c>
      <c r="C166" s="85" t="s">
        <v>287</v>
      </c>
      <c r="D166" s="104" t="s">
        <v>9</v>
      </c>
      <c r="E166" s="104" t="s">
        <v>33</v>
      </c>
      <c r="F166" s="99" t="e">
        <f>+VLOOKUP(C166,'[1]CRUCE RIESGOS'!$F$4:$G$281,2,FALSE)</f>
        <v>#N/A</v>
      </c>
    </row>
    <row r="167" spans="1:6" ht="57" x14ac:dyDescent="0.2">
      <c r="A167" s="94" t="s">
        <v>7</v>
      </c>
      <c r="B167" s="98" t="s">
        <v>279</v>
      </c>
      <c r="C167" s="85" t="s">
        <v>288</v>
      </c>
      <c r="D167" s="104" t="s">
        <v>1837</v>
      </c>
      <c r="E167" s="104" t="s">
        <v>70</v>
      </c>
      <c r="F167" s="51" t="e">
        <f>+VLOOKUP(C167,'[1]CRUCE RIESGOS'!$F$4:$G$281,2,FALSE)</f>
        <v>#N/A</v>
      </c>
    </row>
    <row r="168" spans="1:6" ht="42.75" x14ac:dyDescent="0.2">
      <c r="A168" s="94" t="s">
        <v>7</v>
      </c>
      <c r="B168" s="98" t="s">
        <v>279</v>
      </c>
      <c r="C168" s="102" t="s">
        <v>289</v>
      </c>
      <c r="D168" s="104" t="s">
        <v>16</v>
      </c>
      <c r="E168" s="104" t="s">
        <v>17</v>
      </c>
      <c r="F168" s="51" t="e">
        <f>+VLOOKUP(C168,'[1]CRUCE RIESGOS'!$F$4:$G$281,2,FALSE)</f>
        <v>#N/A</v>
      </c>
    </row>
    <row r="169" spans="1:6" ht="30" x14ac:dyDescent="0.2">
      <c r="A169" s="94" t="s">
        <v>7</v>
      </c>
      <c r="B169" s="98" t="s">
        <v>279</v>
      </c>
      <c r="C169" s="85" t="s">
        <v>290</v>
      </c>
      <c r="D169" s="104" t="s">
        <v>1837</v>
      </c>
      <c r="E169" s="104" t="s">
        <v>22</v>
      </c>
      <c r="F169" s="51" t="e">
        <f>+VLOOKUP(C169,'[1]CRUCE RIESGOS'!$F$4:$G$281,2,FALSE)</f>
        <v>#N/A</v>
      </c>
    </row>
    <row r="170" spans="1:6" ht="56.25" customHeight="1" x14ac:dyDescent="0.2">
      <c r="A170" s="94" t="s">
        <v>7</v>
      </c>
      <c r="B170" s="98" t="s">
        <v>279</v>
      </c>
      <c r="C170" s="85" t="s">
        <v>291</v>
      </c>
      <c r="D170" s="104" t="s">
        <v>1837</v>
      </c>
      <c r="E170" s="104" t="s">
        <v>56</v>
      </c>
      <c r="F170" s="51" t="e">
        <f>+VLOOKUP(C170,'[1]CRUCE RIESGOS'!$F$4:$G$281,2,FALSE)</f>
        <v>#N/A</v>
      </c>
    </row>
    <row r="171" spans="1:6" ht="42.75" x14ac:dyDescent="0.2">
      <c r="A171" s="94" t="s">
        <v>7</v>
      </c>
      <c r="B171" s="98" t="s">
        <v>279</v>
      </c>
      <c r="C171" s="95" t="s">
        <v>1849</v>
      </c>
      <c r="D171" s="104" t="s">
        <v>1837</v>
      </c>
      <c r="E171" s="104" t="s">
        <v>138</v>
      </c>
      <c r="F171" s="51"/>
    </row>
    <row r="172" spans="1:6" ht="45.75" customHeight="1" x14ac:dyDescent="0.2">
      <c r="A172" s="94" t="s">
        <v>7</v>
      </c>
      <c r="B172" s="98" t="s">
        <v>279</v>
      </c>
      <c r="C172" s="102" t="s">
        <v>1850</v>
      </c>
      <c r="D172" s="104" t="s">
        <v>11</v>
      </c>
      <c r="E172" s="104" t="s">
        <v>1841</v>
      </c>
      <c r="F172" s="51"/>
    </row>
    <row r="173" spans="1:6" ht="50.25" customHeight="1" x14ac:dyDescent="0.2">
      <c r="A173" s="94" t="s">
        <v>7</v>
      </c>
      <c r="B173" s="98" t="s">
        <v>279</v>
      </c>
      <c r="C173" s="102" t="s">
        <v>292</v>
      </c>
      <c r="D173" s="104" t="s">
        <v>59</v>
      </c>
      <c r="E173" s="104" t="s">
        <v>60</v>
      </c>
      <c r="F173" s="51"/>
    </row>
    <row r="174" spans="1:6" ht="30" x14ac:dyDescent="0.2">
      <c r="A174" s="94" t="s">
        <v>7</v>
      </c>
      <c r="B174" s="98" t="s">
        <v>306</v>
      </c>
      <c r="C174" s="50" t="s">
        <v>307</v>
      </c>
      <c r="D174" s="104" t="s">
        <v>42</v>
      </c>
      <c r="E174" s="104" t="s">
        <v>43</v>
      </c>
      <c r="F174" s="51" t="e">
        <f>+VLOOKUP(C174,'[1]CRUCE RIESGOS'!$F$4:$G$281,2,FALSE)</f>
        <v>#N/A</v>
      </c>
    </row>
    <row r="175" spans="1:6" ht="30" x14ac:dyDescent="0.2">
      <c r="A175" s="94" t="s">
        <v>7</v>
      </c>
      <c r="B175" s="98" t="s">
        <v>306</v>
      </c>
      <c r="C175" s="50" t="s">
        <v>308</v>
      </c>
      <c r="D175" s="104" t="s">
        <v>16</v>
      </c>
      <c r="E175" s="104" t="s">
        <v>17</v>
      </c>
      <c r="F175" s="99" t="str">
        <f>+VLOOKUP(C175,'[1]CRUCE RIESGOS'!$F$4:$G$281,2,FALSE)</f>
        <v>Perdida de las condiciones y factores de Calidad (Pregrados, postgrados)</v>
      </c>
    </row>
    <row r="176" spans="1:6" ht="30" x14ac:dyDescent="0.2">
      <c r="A176" s="94" t="s">
        <v>7</v>
      </c>
      <c r="B176" s="98" t="s">
        <v>306</v>
      </c>
      <c r="C176" s="50" t="s">
        <v>309</v>
      </c>
      <c r="D176" s="104" t="s">
        <v>11</v>
      </c>
      <c r="E176" s="104" t="s">
        <v>1639</v>
      </c>
      <c r="F176" s="99" t="e">
        <f>+VLOOKUP(C176,'[1]CRUCE RIESGOS'!$F$4:$G$281,2,FALSE)</f>
        <v>#N/A</v>
      </c>
    </row>
    <row r="177" spans="1:6" ht="30" x14ac:dyDescent="0.2">
      <c r="A177" s="94" t="s">
        <v>7</v>
      </c>
      <c r="B177" s="98" t="s">
        <v>306</v>
      </c>
      <c r="C177" s="50" t="s">
        <v>310</v>
      </c>
      <c r="D177" s="104" t="s">
        <v>9</v>
      </c>
      <c r="E177" s="104" t="s">
        <v>33</v>
      </c>
      <c r="F177" s="99" t="e">
        <f>+VLOOKUP(C177,'[1]CRUCE RIESGOS'!$F$4:$G$281,2,FALSE)</f>
        <v>#N/A</v>
      </c>
    </row>
    <row r="178" spans="1:6" ht="30" x14ac:dyDescent="0.2">
      <c r="A178" s="94" t="s">
        <v>7</v>
      </c>
      <c r="B178" s="98" t="s">
        <v>306</v>
      </c>
      <c r="C178" s="85" t="s">
        <v>311</v>
      </c>
      <c r="D178" s="104" t="s">
        <v>1837</v>
      </c>
      <c r="E178" s="104" t="s">
        <v>20</v>
      </c>
      <c r="F178" s="51" t="e">
        <f>+VLOOKUP(C178,'[1]CRUCE RIESGOS'!$F$4:$G$281,2,FALSE)</f>
        <v>#N/A</v>
      </c>
    </row>
    <row r="179" spans="1:6" ht="30" x14ac:dyDescent="0.2">
      <c r="A179" s="94" t="s">
        <v>7</v>
      </c>
      <c r="B179" s="98" t="s">
        <v>306</v>
      </c>
      <c r="C179" s="50" t="s">
        <v>312</v>
      </c>
      <c r="D179" s="104" t="s">
        <v>9</v>
      </c>
      <c r="E179" s="104" t="s">
        <v>18</v>
      </c>
      <c r="F179" s="51" t="e">
        <f>+VLOOKUP(C179,'[1]CRUCE RIESGOS'!$F$4:$G$281,2,FALSE)</f>
        <v>#N/A</v>
      </c>
    </row>
    <row r="180" spans="1:6" ht="30" x14ac:dyDescent="0.2">
      <c r="A180" s="94" t="s">
        <v>7</v>
      </c>
      <c r="B180" s="98" t="s">
        <v>306</v>
      </c>
      <c r="C180" s="50" t="s">
        <v>313</v>
      </c>
      <c r="D180" s="104" t="s">
        <v>1837</v>
      </c>
      <c r="E180" s="104" t="s">
        <v>138</v>
      </c>
      <c r="F180" s="99" t="e">
        <f>+VLOOKUP(C180,'[1]CRUCE RIESGOS'!$F$4:$G$281,2,FALSE)</f>
        <v>#N/A</v>
      </c>
    </row>
    <row r="181" spans="1:6" ht="30" x14ac:dyDescent="0.2">
      <c r="A181" s="94" t="s">
        <v>7</v>
      </c>
      <c r="B181" s="98" t="s">
        <v>306</v>
      </c>
      <c r="C181" s="50" t="s">
        <v>314</v>
      </c>
      <c r="D181" s="104" t="s">
        <v>1837</v>
      </c>
      <c r="E181" s="104" t="s">
        <v>20</v>
      </c>
      <c r="F181" s="51" t="e">
        <f>+VLOOKUP(C181,'[1]CRUCE RIESGOS'!$F$4:$G$281,2,FALSE)</f>
        <v>#N/A</v>
      </c>
    </row>
    <row r="182" spans="1:6" ht="57" x14ac:dyDescent="0.2">
      <c r="A182" s="94" t="s">
        <v>7</v>
      </c>
      <c r="B182" s="98" t="s">
        <v>306</v>
      </c>
      <c r="C182" s="50" t="s">
        <v>315</v>
      </c>
      <c r="D182" s="104" t="s">
        <v>42</v>
      </c>
      <c r="E182" s="104" t="s">
        <v>43</v>
      </c>
      <c r="F182" s="51" t="e">
        <f>+VLOOKUP(C182,'[1]CRUCE RIESGOS'!$F$4:$G$281,2,FALSE)</f>
        <v>#N/A</v>
      </c>
    </row>
    <row r="183" spans="1:6" ht="42.75" x14ac:dyDescent="0.2">
      <c r="A183" s="94" t="s">
        <v>7</v>
      </c>
      <c r="B183" s="98" t="s">
        <v>306</v>
      </c>
      <c r="C183" s="50" t="s">
        <v>316</v>
      </c>
      <c r="D183" s="104" t="s">
        <v>1837</v>
      </c>
      <c r="E183" s="104" t="s">
        <v>56</v>
      </c>
      <c r="F183" s="51" t="e">
        <f>+VLOOKUP(C183,'[1]CRUCE RIESGOS'!$F$4:$G$281,2,FALSE)</f>
        <v>#N/A</v>
      </c>
    </row>
    <row r="184" spans="1:6" ht="30" x14ac:dyDescent="0.2">
      <c r="A184" s="94" t="s">
        <v>7</v>
      </c>
      <c r="B184" s="98" t="s">
        <v>306</v>
      </c>
      <c r="C184" s="50" t="s">
        <v>317</v>
      </c>
      <c r="D184" s="104" t="s">
        <v>1837</v>
      </c>
      <c r="E184" s="104" t="s">
        <v>107</v>
      </c>
      <c r="F184" s="99" t="e">
        <f>+VLOOKUP(C184,'[1]CRUCE RIESGOS'!$F$4:$G$281,2,FALSE)</f>
        <v>#N/A</v>
      </c>
    </row>
    <row r="185" spans="1:6" ht="30" x14ac:dyDescent="0.2">
      <c r="A185" s="94" t="s">
        <v>7</v>
      </c>
      <c r="B185" s="98" t="s">
        <v>306</v>
      </c>
      <c r="C185" s="50" t="s">
        <v>318</v>
      </c>
      <c r="D185" s="104" t="s">
        <v>11</v>
      </c>
      <c r="E185" s="104" t="s">
        <v>1639</v>
      </c>
      <c r="F185" s="51" t="e">
        <f>+VLOOKUP(C185,'[1]CRUCE RIESGOS'!$F$4:$G$281,2,FALSE)</f>
        <v>#N/A</v>
      </c>
    </row>
    <row r="186" spans="1:6" ht="30" x14ac:dyDescent="0.2">
      <c r="A186" s="94" t="s">
        <v>7</v>
      </c>
      <c r="B186" s="98" t="s">
        <v>306</v>
      </c>
      <c r="C186" s="50" t="s">
        <v>319</v>
      </c>
      <c r="D186" s="104" t="s">
        <v>11</v>
      </c>
      <c r="E186" s="104" t="s">
        <v>1841</v>
      </c>
      <c r="F186" s="51" t="e">
        <f>+VLOOKUP(C186,'[1]CRUCE RIESGOS'!$F$4:$G$281,2,FALSE)</f>
        <v>#N/A</v>
      </c>
    </row>
    <row r="187" spans="1:6" ht="30" x14ac:dyDescent="0.2">
      <c r="A187" s="94" t="s">
        <v>7</v>
      </c>
      <c r="B187" s="98" t="s">
        <v>306</v>
      </c>
      <c r="C187" s="50" t="s">
        <v>320</v>
      </c>
      <c r="D187" s="104" t="s">
        <v>1837</v>
      </c>
      <c r="E187" s="104" t="s">
        <v>14</v>
      </c>
      <c r="F187" s="99" t="e">
        <f>+VLOOKUP(C187,'[1]CRUCE RIESGOS'!$F$4:$G$281,2,FALSE)</f>
        <v>#N/A</v>
      </c>
    </row>
    <row r="188" spans="1:6" ht="30" x14ac:dyDescent="0.2">
      <c r="A188" s="94" t="s">
        <v>7</v>
      </c>
      <c r="B188" s="98" t="s">
        <v>306</v>
      </c>
      <c r="C188" s="85" t="s">
        <v>321</v>
      </c>
      <c r="D188" s="104" t="s">
        <v>1837</v>
      </c>
      <c r="E188" s="104" t="s">
        <v>56</v>
      </c>
      <c r="F188" s="51" t="e">
        <f>+VLOOKUP(C188,'[1]CRUCE RIESGOS'!$F$4:$G$281,2,FALSE)</f>
        <v>#N/A</v>
      </c>
    </row>
    <row r="189" spans="1:6" ht="30" x14ac:dyDescent="0.2">
      <c r="A189" s="94" t="s">
        <v>7</v>
      </c>
      <c r="B189" s="98" t="s">
        <v>306</v>
      </c>
      <c r="C189" s="50" t="s">
        <v>322</v>
      </c>
      <c r="D189" s="104" t="s">
        <v>11</v>
      </c>
      <c r="E189" s="104" t="s">
        <v>1841</v>
      </c>
      <c r="F189" s="51" t="e">
        <f>+VLOOKUP(C189,'[1]CRUCE RIESGOS'!$F$4:$G$281,2,FALSE)</f>
        <v>#N/A</v>
      </c>
    </row>
    <row r="190" spans="1:6" ht="30" x14ac:dyDescent="0.2">
      <c r="A190" s="94" t="s">
        <v>7</v>
      </c>
      <c r="B190" s="98" t="s">
        <v>306</v>
      </c>
      <c r="C190" s="85" t="s">
        <v>323</v>
      </c>
      <c r="D190" s="104" t="s">
        <v>1837</v>
      </c>
      <c r="E190" s="104" t="s">
        <v>22</v>
      </c>
      <c r="F190" s="99" t="e">
        <f>+VLOOKUP(C190,'[1]CRUCE RIESGOS'!$F$4:$G$281,2,FALSE)</f>
        <v>#N/A</v>
      </c>
    </row>
    <row r="191" spans="1:6" ht="42.75" x14ac:dyDescent="0.2">
      <c r="A191" s="94" t="s">
        <v>7</v>
      </c>
      <c r="B191" s="98" t="s">
        <v>306</v>
      </c>
      <c r="C191" s="85" t="s">
        <v>324</v>
      </c>
      <c r="D191" s="104" t="s">
        <v>12</v>
      </c>
      <c r="E191" s="104" t="s">
        <v>40</v>
      </c>
      <c r="F191" s="51" t="e">
        <f>+VLOOKUP(C191,'[1]CRUCE RIESGOS'!$F$4:$G$281,2,FALSE)</f>
        <v>#N/A</v>
      </c>
    </row>
    <row r="192" spans="1:6" ht="30" x14ac:dyDescent="0.2">
      <c r="A192" s="94" t="s">
        <v>7</v>
      </c>
      <c r="B192" s="98" t="s">
        <v>306</v>
      </c>
      <c r="C192" s="85" t="s">
        <v>325</v>
      </c>
      <c r="D192" s="104" t="s">
        <v>11</v>
      </c>
      <c r="E192" s="104" t="s">
        <v>1639</v>
      </c>
      <c r="F192" s="51" t="e">
        <f>+VLOOKUP(C192,'[1]CRUCE RIESGOS'!$F$4:$G$281,2,FALSE)</f>
        <v>#N/A</v>
      </c>
    </row>
    <row r="193" spans="1:6" ht="42.75" x14ac:dyDescent="0.2">
      <c r="A193" s="94" t="s">
        <v>7</v>
      </c>
      <c r="B193" s="98" t="s">
        <v>306</v>
      </c>
      <c r="C193" s="85" t="s">
        <v>326</v>
      </c>
      <c r="D193" s="104" t="s">
        <v>1837</v>
      </c>
      <c r="E193" s="104" t="s">
        <v>14</v>
      </c>
      <c r="F193" s="51" t="e">
        <f>+VLOOKUP(C193,'[1]CRUCE RIESGOS'!$F$4:$G$281,2,FALSE)</f>
        <v>#N/A</v>
      </c>
    </row>
    <row r="194" spans="1:6" ht="30" x14ac:dyDescent="0.2">
      <c r="A194" s="94" t="s">
        <v>7</v>
      </c>
      <c r="B194" s="98" t="s">
        <v>306</v>
      </c>
      <c r="C194" s="50" t="s">
        <v>327</v>
      </c>
      <c r="D194" s="104" t="s">
        <v>1837</v>
      </c>
      <c r="E194" s="104" t="s">
        <v>1846</v>
      </c>
      <c r="F194" s="51" t="e">
        <f>+VLOOKUP(C194,'[1]CRUCE RIESGOS'!$F$4:$G$281,2,FALSE)</f>
        <v>#N/A</v>
      </c>
    </row>
    <row r="195" spans="1:6" ht="42.75" x14ac:dyDescent="0.2">
      <c r="A195" s="94" t="s">
        <v>7</v>
      </c>
      <c r="B195" s="98" t="s">
        <v>306</v>
      </c>
      <c r="C195" s="50" t="s">
        <v>328</v>
      </c>
      <c r="D195" s="104" t="s">
        <v>1837</v>
      </c>
      <c r="E195" s="104" t="s">
        <v>22</v>
      </c>
      <c r="F195" s="99" t="e">
        <f>+VLOOKUP(C195,'[1]CRUCE RIESGOS'!$F$4:$G$281,2,FALSE)</f>
        <v>#N/A</v>
      </c>
    </row>
    <row r="196" spans="1:6" ht="42.75" x14ac:dyDescent="0.2">
      <c r="A196" s="94" t="s">
        <v>7</v>
      </c>
      <c r="B196" s="98" t="s">
        <v>306</v>
      </c>
      <c r="C196" s="50" t="s">
        <v>329</v>
      </c>
      <c r="D196" s="104" t="s">
        <v>1837</v>
      </c>
      <c r="E196" s="104" t="s">
        <v>20</v>
      </c>
      <c r="F196" s="51" t="e">
        <f>+VLOOKUP(C196,'[1]CRUCE RIESGOS'!$F$4:$G$281,2,FALSE)</f>
        <v>#N/A</v>
      </c>
    </row>
    <row r="197" spans="1:6" ht="30" x14ac:dyDescent="0.2">
      <c r="A197" s="94" t="s">
        <v>7</v>
      </c>
      <c r="B197" s="98" t="s">
        <v>306</v>
      </c>
      <c r="C197" s="50" t="s">
        <v>330</v>
      </c>
      <c r="D197" s="104" t="s">
        <v>1837</v>
      </c>
      <c r="E197" s="104" t="s">
        <v>107</v>
      </c>
      <c r="F197" s="51" t="e">
        <f>+VLOOKUP(C197,'[1]CRUCE RIESGOS'!$F$4:$G$281,2,FALSE)</f>
        <v>#N/A</v>
      </c>
    </row>
    <row r="198" spans="1:6" ht="30" x14ac:dyDescent="0.2">
      <c r="A198" s="94" t="s">
        <v>7</v>
      </c>
      <c r="B198" s="98" t="s">
        <v>306</v>
      </c>
      <c r="C198" s="50" t="s">
        <v>331</v>
      </c>
      <c r="D198" s="104" t="s">
        <v>9</v>
      </c>
      <c r="E198" s="104" t="s">
        <v>173</v>
      </c>
      <c r="F198" s="51"/>
    </row>
    <row r="199" spans="1:6" ht="30" x14ac:dyDescent="0.2">
      <c r="A199" s="94" t="s">
        <v>7</v>
      </c>
      <c r="B199" s="98" t="s">
        <v>306</v>
      </c>
      <c r="C199" s="50" t="s">
        <v>332</v>
      </c>
      <c r="D199" s="104" t="s">
        <v>11</v>
      </c>
      <c r="E199" s="104" t="s">
        <v>1841</v>
      </c>
      <c r="F199" s="51" t="e">
        <f>+VLOOKUP(C199,'[1]CRUCE RIESGOS'!$F$4:$G$281,2,FALSE)</f>
        <v>#N/A</v>
      </c>
    </row>
    <row r="200" spans="1:6" ht="30" x14ac:dyDescent="0.2">
      <c r="A200" s="94" t="s">
        <v>7</v>
      </c>
      <c r="B200" s="98" t="s">
        <v>306</v>
      </c>
      <c r="C200" s="50" t="s">
        <v>333</v>
      </c>
      <c r="D200" s="104" t="s">
        <v>1837</v>
      </c>
      <c r="E200" s="104" t="s">
        <v>138</v>
      </c>
      <c r="F200" s="51" t="e">
        <f>+VLOOKUP(C200,'[1]CRUCE RIESGOS'!$F$4:$G$281,2,FALSE)</f>
        <v>#N/A</v>
      </c>
    </row>
    <row r="201" spans="1:6" ht="30" x14ac:dyDescent="0.2">
      <c r="A201" s="94" t="s">
        <v>7</v>
      </c>
      <c r="B201" s="98" t="s">
        <v>306</v>
      </c>
      <c r="C201" s="50" t="s">
        <v>334</v>
      </c>
      <c r="D201" s="104" t="s">
        <v>9</v>
      </c>
      <c r="E201" s="104" t="s">
        <v>18</v>
      </c>
      <c r="F201" s="51" t="e">
        <f>+VLOOKUP(C201,'[1]CRUCE RIESGOS'!$F$4:$G$281,2,FALSE)</f>
        <v>#N/A</v>
      </c>
    </row>
    <row r="202" spans="1:6" ht="42.75" x14ac:dyDescent="0.2">
      <c r="A202" s="94" t="s">
        <v>7</v>
      </c>
      <c r="B202" s="98" t="s">
        <v>306</v>
      </c>
      <c r="C202" s="50" t="s">
        <v>335</v>
      </c>
      <c r="D202" s="104" t="s">
        <v>12</v>
      </c>
      <c r="E202" s="104" t="s">
        <v>32</v>
      </c>
      <c r="F202" s="51"/>
    </row>
    <row r="203" spans="1:6" ht="30" x14ac:dyDescent="0.2">
      <c r="A203" s="94" t="s">
        <v>7</v>
      </c>
      <c r="B203" s="98" t="s">
        <v>306</v>
      </c>
      <c r="C203" s="50" t="s">
        <v>336</v>
      </c>
      <c r="D203" s="104" t="s">
        <v>42</v>
      </c>
      <c r="E203" s="104" t="s">
        <v>43</v>
      </c>
      <c r="F203" s="51"/>
    </row>
    <row r="204" spans="1:6" ht="30" x14ac:dyDescent="0.2">
      <c r="A204" s="94" t="s">
        <v>7</v>
      </c>
      <c r="B204" s="98" t="s">
        <v>306</v>
      </c>
      <c r="C204" s="50" t="s">
        <v>337</v>
      </c>
      <c r="D204" s="104" t="s">
        <v>9</v>
      </c>
      <c r="E204" s="104" t="s">
        <v>33</v>
      </c>
      <c r="F204" s="51"/>
    </row>
    <row r="205" spans="1:6" ht="42.75" x14ac:dyDescent="0.2">
      <c r="A205" s="94" t="s">
        <v>7</v>
      </c>
      <c r="B205" s="98" t="s">
        <v>306</v>
      </c>
      <c r="C205" s="50" t="s">
        <v>338</v>
      </c>
      <c r="D205" s="104" t="s">
        <v>9</v>
      </c>
      <c r="E205" s="104" t="s">
        <v>15</v>
      </c>
      <c r="F205" s="51"/>
    </row>
    <row r="206" spans="1:6" ht="42.75" x14ac:dyDescent="0.2">
      <c r="A206" s="94" t="s">
        <v>7</v>
      </c>
      <c r="B206" s="98" t="s">
        <v>306</v>
      </c>
      <c r="C206" s="50" t="s">
        <v>339</v>
      </c>
      <c r="D206" s="104" t="s">
        <v>12</v>
      </c>
      <c r="E206" s="104" t="s">
        <v>93</v>
      </c>
      <c r="F206" s="51"/>
    </row>
    <row r="207" spans="1:6" ht="30" x14ac:dyDescent="0.2">
      <c r="A207" s="94" t="s">
        <v>7</v>
      </c>
      <c r="B207" s="98" t="s">
        <v>306</v>
      </c>
      <c r="C207" s="50" t="s">
        <v>340</v>
      </c>
      <c r="D207" s="104" t="s">
        <v>11</v>
      </c>
      <c r="E207" s="104" t="s">
        <v>1841</v>
      </c>
      <c r="F207" s="51"/>
    </row>
    <row r="208" spans="1:6" ht="30" x14ac:dyDescent="0.2">
      <c r="A208" s="94" t="s">
        <v>7</v>
      </c>
      <c r="B208" s="98" t="s">
        <v>306</v>
      </c>
      <c r="C208" s="50" t="s">
        <v>341</v>
      </c>
      <c r="D208" s="104" t="s">
        <v>11</v>
      </c>
      <c r="E208" s="104" t="s">
        <v>1639</v>
      </c>
      <c r="F208" s="51"/>
    </row>
    <row r="209" spans="1:6" ht="42.75" x14ac:dyDescent="0.2">
      <c r="A209" s="94" t="s">
        <v>7</v>
      </c>
      <c r="B209" s="98" t="s">
        <v>306</v>
      </c>
      <c r="C209" s="50" t="s">
        <v>342</v>
      </c>
      <c r="D209" s="104" t="s">
        <v>12</v>
      </c>
      <c r="E209" s="104" t="s">
        <v>13</v>
      </c>
      <c r="F209" s="51"/>
    </row>
    <row r="210" spans="1:6" ht="30" x14ac:dyDescent="0.2">
      <c r="A210" s="94" t="s">
        <v>7</v>
      </c>
      <c r="B210" s="98" t="s">
        <v>306</v>
      </c>
      <c r="C210" s="50" t="s">
        <v>343</v>
      </c>
      <c r="D210" s="104" t="s">
        <v>11</v>
      </c>
      <c r="E210" s="104" t="s">
        <v>142</v>
      </c>
      <c r="F210" s="51"/>
    </row>
    <row r="211" spans="1:6" ht="42.75" x14ac:dyDescent="0.2">
      <c r="A211" s="94" t="s">
        <v>7</v>
      </c>
      <c r="B211" s="98" t="s">
        <v>306</v>
      </c>
      <c r="C211" s="50" t="s">
        <v>344</v>
      </c>
      <c r="D211" s="104" t="s">
        <v>12</v>
      </c>
      <c r="E211" s="104" t="s">
        <v>13</v>
      </c>
      <c r="F211" s="51"/>
    </row>
    <row r="212" spans="1:6" ht="30" x14ac:dyDescent="0.2">
      <c r="A212" s="94" t="s">
        <v>7</v>
      </c>
      <c r="B212" s="98" t="s">
        <v>306</v>
      </c>
      <c r="C212" s="50" t="s">
        <v>345</v>
      </c>
      <c r="D212" s="104" t="s">
        <v>9</v>
      </c>
      <c r="E212" s="104" t="s">
        <v>145</v>
      </c>
      <c r="F212" s="51"/>
    </row>
    <row r="213" spans="1:6" ht="30" x14ac:dyDescent="0.2">
      <c r="A213" s="94" t="s">
        <v>7</v>
      </c>
      <c r="B213" s="98" t="s">
        <v>380</v>
      </c>
      <c r="C213" s="50" t="s">
        <v>381</v>
      </c>
      <c r="D213" s="104" t="s">
        <v>1837</v>
      </c>
      <c r="E213" s="104" t="s">
        <v>107</v>
      </c>
      <c r="F213" s="99" t="str">
        <f>+VLOOKUP(C213,'[1]CRUCE RIESGOS'!$F$4:$G$281,2,FALSE)</f>
        <v>Perdida de la documentación de las actividades del proceso.</v>
      </c>
    </row>
    <row r="214" spans="1:6" ht="30" x14ac:dyDescent="0.2">
      <c r="A214" s="94" t="s">
        <v>7</v>
      </c>
      <c r="B214" s="98" t="s">
        <v>380</v>
      </c>
      <c r="C214" s="50" t="s">
        <v>1851</v>
      </c>
      <c r="D214" s="104" t="s">
        <v>11</v>
      </c>
      <c r="E214" s="104" t="s">
        <v>1639</v>
      </c>
      <c r="F214" s="51" t="e">
        <f>+VLOOKUP(C214,'[1]CRUCE RIESGOS'!$F$4:$G$281,2,FALSE)</f>
        <v>#N/A</v>
      </c>
    </row>
    <row r="215" spans="1:6" ht="30" x14ac:dyDescent="0.2">
      <c r="A215" s="94" t="s">
        <v>7</v>
      </c>
      <c r="B215" s="98" t="s">
        <v>380</v>
      </c>
      <c r="C215" s="50" t="s">
        <v>383</v>
      </c>
      <c r="D215" s="104" t="s">
        <v>1837</v>
      </c>
      <c r="E215" s="104" t="s">
        <v>14</v>
      </c>
      <c r="F215" s="99" t="e">
        <f>+VLOOKUP(C215,'[1]CRUCE RIESGOS'!$F$4:$G$281,2,FALSE)</f>
        <v>#N/A</v>
      </c>
    </row>
    <row r="216" spans="1:6" ht="30" x14ac:dyDescent="0.2">
      <c r="A216" s="94" t="s">
        <v>7</v>
      </c>
      <c r="B216" s="98" t="s">
        <v>380</v>
      </c>
      <c r="C216" s="50" t="s">
        <v>384</v>
      </c>
      <c r="D216" s="104" t="s">
        <v>1837</v>
      </c>
      <c r="E216" s="104" t="s">
        <v>20</v>
      </c>
      <c r="F216" s="99" t="e">
        <f>+VLOOKUP(C216,'[1]CRUCE RIESGOS'!$F$4:$G$281,2,FALSE)</f>
        <v>#N/A</v>
      </c>
    </row>
    <row r="217" spans="1:6" ht="30" x14ac:dyDescent="0.2">
      <c r="A217" s="94" t="s">
        <v>7</v>
      </c>
      <c r="B217" s="98" t="s">
        <v>380</v>
      </c>
      <c r="C217" s="50" t="s">
        <v>385</v>
      </c>
      <c r="D217" s="104" t="s">
        <v>1837</v>
      </c>
      <c r="E217" s="104" t="s">
        <v>1846</v>
      </c>
      <c r="F217" s="51" t="e">
        <f>+VLOOKUP(C217,'[1]CRUCE RIESGOS'!$F$4:$G$281,2,FALSE)</f>
        <v>#N/A</v>
      </c>
    </row>
    <row r="218" spans="1:6" ht="30" x14ac:dyDescent="0.2">
      <c r="A218" s="94" t="s">
        <v>7</v>
      </c>
      <c r="B218" s="98" t="s">
        <v>380</v>
      </c>
      <c r="C218" s="85" t="s">
        <v>386</v>
      </c>
      <c r="D218" s="104" t="s">
        <v>1837</v>
      </c>
      <c r="E218" s="104" t="s">
        <v>138</v>
      </c>
      <c r="F218" s="99" t="e">
        <f>+VLOOKUP(C218,'[1]CRUCE RIESGOS'!$F$4:$G$281,2,FALSE)</f>
        <v>#N/A</v>
      </c>
    </row>
    <row r="219" spans="1:6" x14ac:dyDescent="0.2">
      <c r="A219" s="94" t="s">
        <v>7</v>
      </c>
      <c r="B219" s="98" t="s">
        <v>391</v>
      </c>
      <c r="C219" s="50" t="s">
        <v>392</v>
      </c>
      <c r="D219" s="104" t="s">
        <v>9</v>
      </c>
      <c r="E219" s="104" t="s">
        <v>41</v>
      </c>
      <c r="F219" s="99" t="e">
        <f>+VLOOKUP(C219,'[1]CRUCE RIESGOS'!$F$4:$G$281,2,FALSE)</f>
        <v>#N/A</v>
      </c>
    </row>
    <row r="220" spans="1:6" ht="28.5" x14ac:dyDescent="0.2">
      <c r="A220" s="94" t="s">
        <v>7</v>
      </c>
      <c r="B220" s="98" t="s">
        <v>391</v>
      </c>
      <c r="C220" s="50" t="s">
        <v>393</v>
      </c>
      <c r="D220" s="104" t="s">
        <v>1837</v>
      </c>
      <c r="E220" s="104" t="s">
        <v>20</v>
      </c>
      <c r="F220" s="51" t="e">
        <f>+VLOOKUP(C220,'[1]CRUCE RIESGOS'!$F$4:$G$281,2,FALSE)</f>
        <v>#N/A</v>
      </c>
    </row>
    <row r="221" spans="1:6" ht="28.5" x14ac:dyDescent="0.2">
      <c r="A221" s="94" t="s">
        <v>7</v>
      </c>
      <c r="B221" s="98" t="s">
        <v>391</v>
      </c>
      <c r="C221" s="85" t="s">
        <v>394</v>
      </c>
      <c r="D221" s="104" t="s">
        <v>9</v>
      </c>
      <c r="E221" s="104" t="s">
        <v>15</v>
      </c>
      <c r="F221" s="51" t="e">
        <f>+VLOOKUP(C221,'[1]CRUCE RIESGOS'!$F$4:$G$281,2,FALSE)</f>
        <v>#N/A</v>
      </c>
    </row>
    <row r="222" spans="1:6" ht="42.75" x14ac:dyDescent="0.2">
      <c r="A222" s="94" t="s">
        <v>7</v>
      </c>
      <c r="B222" s="98" t="s">
        <v>391</v>
      </c>
      <c r="C222" s="85" t="s">
        <v>395</v>
      </c>
      <c r="D222" s="104" t="s">
        <v>1837</v>
      </c>
      <c r="E222" s="104" t="s">
        <v>22</v>
      </c>
      <c r="F222" s="51" t="e">
        <f>+VLOOKUP(C222,'[1]CRUCE RIESGOS'!$F$4:$G$281,2,FALSE)</f>
        <v>#N/A</v>
      </c>
    </row>
    <row r="223" spans="1:6" ht="28.5" x14ac:dyDescent="0.2">
      <c r="A223" s="94" t="s">
        <v>7</v>
      </c>
      <c r="B223" s="98" t="s">
        <v>391</v>
      </c>
      <c r="C223" s="85" t="s">
        <v>396</v>
      </c>
      <c r="D223" s="104" t="s">
        <v>1837</v>
      </c>
      <c r="E223" s="104" t="s">
        <v>107</v>
      </c>
      <c r="F223" s="99" t="e">
        <f>+VLOOKUP(C223,'[1]CRUCE RIESGOS'!$F$4:$G$281,2,FALSE)</f>
        <v>#N/A</v>
      </c>
    </row>
    <row r="224" spans="1:6" ht="42.75" x14ac:dyDescent="0.2">
      <c r="A224" s="94" t="s">
        <v>7</v>
      </c>
      <c r="B224" s="98" t="s">
        <v>391</v>
      </c>
      <c r="C224" s="85" t="s">
        <v>397</v>
      </c>
      <c r="D224" s="104" t="s">
        <v>11</v>
      </c>
      <c r="E224" s="104" t="s">
        <v>1841</v>
      </c>
      <c r="F224" s="51" t="e">
        <f>+VLOOKUP(C224,'[1]CRUCE RIESGOS'!$F$4:$G$281,2,FALSE)</f>
        <v>#N/A</v>
      </c>
    </row>
    <row r="225" spans="1:6" ht="42.75" x14ac:dyDescent="0.2">
      <c r="A225" s="94" t="s">
        <v>7</v>
      </c>
      <c r="B225" s="98" t="s">
        <v>391</v>
      </c>
      <c r="C225" s="85" t="s">
        <v>398</v>
      </c>
      <c r="D225" s="104" t="s">
        <v>12</v>
      </c>
      <c r="E225" s="104" t="s">
        <v>32</v>
      </c>
      <c r="F225" s="51" t="e">
        <f>+VLOOKUP(C225,'[1]CRUCE RIESGOS'!$F$4:$G$281,2,FALSE)</f>
        <v>#N/A</v>
      </c>
    </row>
    <row r="226" spans="1:6" x14ac:dyDescent="0.2">
      <c r="A226" s="94" t="s">
        <v>7</v>
      </c>
      <c r="B226" s="98" t="s">
        <v>391</v>
      </c>
      <c r="C226" s="85" t="s">
        <v>399</v>
      </c>
      <c r="D226" s="104" t="s">
        <v>1837</v>
      </c>
      <c r="E226" s="104" t="s">
        <v>56</v>
      </c>
      <c r="F226" s="51"/>
    </row>
    <row r="227" spans="1:6" ht="28.5" x14ac:dyDescent="0.2">
      <c r="A227" s="94" t="s">
        <v>7</v>
      </c>
      <c r="B227" s="98" t="s">
        <v>391</v>
      </c>
      <c r="C227" s="85" t="s">
        <v>400</v>
      </c>
      <c r="D227" s="104" t="s">
        <v>9</v>
      </c>
      <c r="E227" s="104" t="s">
        <v>26</v>
      </c>
      <c r="F227" s="99" t="e">
        <f>+VLOOKUP(C227,'[1]CRUCE RIESGOS'!$F$4:$G$281,2,FALSE)</f>
        <v>#N/A</v>
      </c>
    </row>
    <row r="228" spans="1:6" ht="28.5" x14ac:dyDescent="0.2">
      <c r="A228" s="94" t="s">
        <v>7</v>
      </c>
      <c r="B228" s="98" t="s">
        <v>391</v>
      </c>
      <c r="C228" s="85" t="s">
        <v>401</v>
      </c>
      <c r="D228" s="104" t="s">
        <v>9</v>
      </c>
      <c r="E228" s="104" t="s">
        <v>173</v>
      </c>
      <c r="F228" s="99" t="e">
        <f>+VLOOKUP(C228,'[1]CRUCE RIESGOS'!$F$4:$G$281,2,FALSE)</f>
        <v>#N/A</v>
      </c>
    </row>
    <row r="229" spans="1:6" ht="30" x14ac:dyDescent="0.2">
      <c r="A229" s="94" t="s">
        <v>7</v>
      </c>
      <c r="B229" s="98" t="s">
        <v>409</v>
      </c>
      <c r="C229" s="50" t="s">
        <v>414</v>
      </c>
      <c r="D229" s="104" t="s">
        <v>1837</v>
      </c>
      <c r="E229" s="104" t="s">
        <v>56</v>
      </c>
      <c r="F229" s="99" t="str">
        <f>+VLOOKUP(C229,'[1]CRUCE RIESGOS'!$F$4:$G$281,2,FALSE)</f>
        <v>Publicar información no verídica y/o insuficiente</v>
      </c>
    </row>
    <row r="230" spans="1:6" ht="30.75" customHeight="1" x14ac:dyDescent="0.2">
      <c r="A230" s="94" t="s">
        <v>7</v>
      </c>
      <c r="B230" s="98" t="s">
        <v>409</v>
      </c>
      <c r="C230" s="85" t="s">
        <v>412</v>
      </c>
      <c r="D230" s="104" t="s">
        <v>1837</v>
      </c>
      <c r="E230" s="104" t="s">
        <v>20</v>
      </c>
      <c r="F230" s="99" t="str">
        <f>+VLOOKUP(C230,'[1]CRUCE RIESGOS'!$F$4:$G$281,2,FALSE)</f>
        <v>Incumplimiento en el logro de las metas establecidas en el Plan de Acción y el Plan de Desarrollo</v>
      </c>
    </row>
    <row r="231" spans="1:6" ht="42.75" x14ac:dyDescent="0.2">
      <c r="A231" s="94" t="s">
        <v>7</v>
      </c>
      <c r="B231" s="98" t="s">
        <v>409</v>
      </c>
      <c r="C231" s="50" t="s">
        <v>411</v>
      </c>
      <c r="D231" s="104" t="s">
        <v>12</v>
      </c>
      <c r="E231" s="104" t="s">
        <v>13</v>
      </c>
      <c r="F231" s="51" t="e">
        <f>+VLOOKUP(C231,'[1]CRUCE RIESGOS'!$F$4:$G$281,2,FALSE)</f>
        <v>#N/A</v>
      </c>
    </row>
    <row r="232" spans="1:6" ht="30" x14ac:dyDescent="0.2">
      <c r="A232" s="94" t="s">
        <v>7</v>
      </c>
      <c r="B232" s="98" t="s">
        <v>409</v>
      </c>
      <c r="C232" s="50" t="s">
        <v>413</v>
      </c>
      <c r="D232" s="104" t="s">
        <v>1837</v>
      </c>
      <c r="E232" s="104" t="s">
        <v>22</v>
      </c>
      <c r="F232" s="51" t="e">
        <f>+VLOOKUP(C232,'[1]CRUCE RIESGOS'!$F$4:$G$281,2,FALSE)</f>
        <v>#N/A</v>
      </c>
    </row>
    <row r="233" spans="1:6" ht="30" x14ac:dyDescent="0.2">
      <c r="A233" s="94" t="s">
        <v>7</v>
      </c>
      <c r="B233" s="98" t="s">
        <v>409</v>
      </c>
      <c r="C233" s="85" t="s">
        <v>410</v>
      </c>
      <c r="D233" s="104" t="s">
        <v>1837</v>
      </c>
      <c r="E233" s="104" t="s">
        <v>138</v>
      </c>
      <c r="F233" s="51" t="e">
        <f>+VLOOKUP(C233,'[1]CRUCE RIESGOS'!$F$4:$G$281,2,FALSE)</f>
        <v>#N/A</v>
      </c>
    </row>
    <row r="234" spans="1:6" ht="30" x14ac:dyDescent="0.2">
      <c r="A234" s="94" t="s">
        <v>7</v>
      </c>
      <c r="B234" s="98" t="s">
        <v>409</v>
      </c>
      <c r="C234" s="85" t="s">
        <v>416</v>
      </c>
      <c r="D234" s="104" t="s">
        <v>1837</v>
      </c>
      <c r="E234" s="104" t="s">
        <v>56</v>
      </c>
      <c r="F234" s="99" t="e">
        <f>+VLOOKUP(C234,'[1]CRUCE RIESGOS'!$F$4:$G$281,2,FALSE)</f>
        <v>#N/A</v>
      </c>
    </row>
    <row r="235" spans="1:6" ht="42.75" x14ac:dyDescent="0.2">
      <c r="A235" s="94" t="s">
        <v>7</v>
      </c>
      <c r="B235" s="98" t="s">
        <v>409</v>
      </c>
      <c r="C235" s="85" t="s">
        <v>415</v>
      </c>
      <c r="D235" s="104" t="s">
        <v>1837</v>
      </c>
      <c r="E235" s="104" t="s">
        <v>107</v>
      </c>
      <c r="F235" s="51" t="e">
        <f>+VLOOKUP(C235,'[1]CRUCE RIESGOS'!$F$4:$G$281,2,FALSE)</f>
        <v>#N/A</v>
      </c>
    </row>
    <row r="236" spans="1:6" ht="42.75" x14ac:dyDescent="0.2">
      <c r="A236" s="94" t="s">
        <v>7</v>
      </c>
      <c r="B236" s="98" t="s">
        <v>409</v>
      </c>
      <c r="C236" s="85" t="s">
        <v>417</v>
      </c>
      <c r="D236" s="104" t="s">
        <v>12</v>
      </c>
      <c r="E236" s="104" t="s">
        <v>32</v>
      </c>
      <c r="F236" s="51"/>
    </row>
    <row r="237" spans="1:6" ht="30" x14ac:dyDescent="0.2">
      <c r="A237" s="94" t="s">
        <v>7</v>
      </c>
      <c r="B237" s="98" t="s">
        <v>409</v>
      </c>
      <c r="C237" s="85" t="s">
        <v>418</v>
      </c>
      <c r="D237" s="104" t="s">
        <v>9</v>
      </c>
      <c r="E237" s="104" t="s">
        <v>18</v>
      </c>
      <c r="F237" s="51"/>
    </row>
    <row r="238" spans="1:6" ht="30" x14ac:dyDescent="0.2">
      <c r="A238" s="94" t="s">
        <v>7</v>
      </c>
      <c r="B238" s="98" t="s">
        <v>409</v>
      </c>
      <c r="C238" s="85" t="s">
        <v>419</v>
      </c>
      <c r="D238" s="104" t="s">
        <v>1837</v>
      </c>
      <c r="E238" s="104" t="s">
        <v>20</v>
      </c>
      <c r="F238" s="51"/>
    </row>
    <row r="239" spans="1:6" ht="42.75" x14ac:dyDescent="0.2">
      <c r="A239" s="94" t="s">
        <v>7</v>
      </c>
      <c r="B239" s="98" t="s">
        <v>423</v>
      </c>
      <c r="C239" s="50" t="s">
        <v>428</v>
      </c>
      <c r="D239" s="104" t="s">
        <v>1837</v>
      </c>
      <c r="E239" s="104" t="s">
        <v>22</v>
      </c>
      <c r="F239" s="99" t="str">
        <f>+VLOOKUP(C239,'[1]CRUCE RIESGOS'!$F$4:$G$281,2,FALSE)</f>
        <v>Incumplimiento de los tiempos de respuesta en la gestión de las PQRS por parte de los funcionarios competentes</v>
      </c>
    </row>
    <row r="240" spans="1:6" ht="30" x14ac:dyDescent="0.2">
      <c r="A240" s="94" t="s">
        <v>7</v>
      </c>
      <c r="B240" s="98" t="s">
        <v>423</v>
      </c>
      <c r="C240" s="50" t="s">
        <v>426</v>
      </c>
      <c r="D240" s="104" t="s">
        <v>9</v>
      </c>
      <c r="E240" s="104" t="s">
        <v>41</v>
      </c>
      <c r="F240" s="51" t="e">
        <f>+VLOOKUP(C240,'[1]CRUCE RIESGOS'!$F$4:$G$281,2,FALSE)</f>
        <v>#N/A</v>
      </c>
    </row>
    <row r="241" spans="1:6" ht="42.75" x14ac:dyDescent="0.2">
      <c r="A241" s="94" t="s">
        <v>7</v>
      </c>
      <c r="B241" s="98" t="s">
        <v>423</v>
      </c>
      <c r="C241" s="50" t="s">
        <v>425</v>
      </c>
      <c r="D241" s="104" t="s">
        <v>12</v>
      </c>
      <c r="E241" s="104" t="s">
        <v>13</v>
      </c>
      <c r="F241" s="51" t="e">
        <f>+VLOOKUP(C241,'[1]CRUCE RIESGOS'!$F$4:$G$281,2,FALSE)</f>
        <v>#N/A</v>
      </c>
    </row>
    <row r="242" spans="1:6" ht="42.75" x14ac:dyDescent="0.2">
      <c r="A242" s="94" t="s">
        <v>7</v>
      </c>
      <c r="B242" s="98" t="s">
        <v>423</v>
      </c>
      <c r="C242" s="50" t="s">
        <v>427</v>
      </c>
      <c r="D242" s="104" t="s">
        <v>1837</v>
      </c>
      <c r="E242" s="104" t="s">
        <v>14</v>
      </c>
      <c r="F242" s="99" t="str">
        <f>+VLOOKUP(C242,'[1]CRUCE RIESGOS'!$F$4:$G$281,2,FALSE)</f>
        <v>Incumplimiento de los tiempos de respuesta en la gestión de las PQRS por parte de los funcionarios competentes</v>
      </c>
    </row>
    <row r="243" spans="1:6" ht="42.75" x14ac:dyDescent="0.2">
      <c r="A243" s="94" t="s">
        <v>7</v>
      </c>
      <c r="B243" s="98" t="s">
        <v>423</v>
      </c>
      <c r="C243" s="50" t="s">
        <v>424</v>
      </c>
      <c r="D243" s="104" t="s">
        <v>1837</v>
      </c>
      <c r="E243" s="104" t="s">
        <v>22</v>
      </c>
      <c r="F243" s="99" t="str">
        <f>+VLOOKUP(C243,'[1]CRUCE RIESGOS'!$F$4:$G$281,2,FALSE)</f>
        <v>Incumplimiento de los tiempos de respuesta en la gestión de las PQRS por parte de los funcionarios competentes</v>
      </c>
    </row>
    <row r="244" spans="1:6" ht="30" x14ac:dyDescent="0.2">
      <c r="A244" s="94" t="s">
        <v>7</v>
      </c>
      <c r="B244" s="98" t="s">
        <v>423</v>
      </c>
      <c r="C244" s="50" t="s">
        <v>430</v>
      </c>
      <c r="D244" s="104" t="s">
        <v>1837</v>
      </c>
      <c r="E244" s="104" t="s">
        <v>56</v>
      </c>
      <c r="F244" s="51" t="e">
        <f>+VLOOKUP(C244,'[1]CRUCE RIESGOS'!$F$4:$G$281,2,FALSE)</f>
        <v>#N/A</v>
      </c>
    </row>
    <row r="245" spans="1:6" ht="30" x14ac:dyDescent="0.2">
      <c r="A245" s="94" t="s">
        <v>7</v>
      </c>
      <c r="B245" s="98" t="s">
        <v>423</v>
      </c>
      <c r="C245" s="50" t="s">
        <v>431</v>
      </c>
      <c r="D245" s="104" t="s">
        <v>1837</v>
      </c>
      <c r="E245" s="104" t="s">
        <v>20</v>
      </c>
      <c r="F245" s="51"/>
    </row>
    <row r="246" spans="1:6" ht="30" x14ac:dyDescent="0.2">
      <c r="A246" s="94" t="s">
        <v>7</v>
      </c>
      <c r="B246" s="98" t="s">
        <v>423</v>
      </c>
      <c r="C246" s="50" t="s">
        <v>432</v>
      </c>
      <c r="D246" s="104" t="s">
        <v>9</v>
      </c>
      <c r="E246" s="104" t="s">
        <v>18</v>
      </c>
      <c r="F246" s="51"/>
    </row>
    <row r="247" spans="1:6" ht="42.75" x14ac:dyDescent="0.2">
      <c r="A247" s="94" t="s">
        <v>7</v>
      </c>
      <c r="B247" s="98" t="s">
        <v>423</v>
      </c>
      <c r="C247" s="50" t="s">
        <v>433</v>
      </c>
      <c r="D247" s="104" t="s">
        <v>12</v>
      </c>
      <c r="E247" s="104" t="s">
        <v>32</v>
      </c>
      <c r="F247" s="51"/>
    </row>
    <row r="248" spans="1:6" ht="30" x14ac:dyDescent="0.2">
      <c r="A248" s="94" t="s">
        <v>7</v>
      </c>
      <c r="B248" s="98" t="s">
        <v>423</v>
      </c>
      <c r="C248" s="50" t="s">
        <v>434</v>
      </c>
      <c r="D248" s="104" t="s">
        <v>9</v>
      </c>
      <c r="E248" s="104" t="s">
        <v>33</v>
      </c>
      <c r="F248" s="51" t="e">
        <f>+VLOOKUP(C248,'[1]CRUCE RIESGOS'!$F$4:$G$281,2,FALSE)</f>
        <v>#N/A</v>
      </c>
    </row>
    <row r="249" spans="1:6" ht="42.75" x14ac:dyDescent="0.2">
      <c r="A249" s="94" t="s">
        <v>7</v>
      </c>
      <c r="B249" s="98" t="s">
        <v>423</v>
      </c>
      <c r="C249" s="50" t="s">
        <v>435</v>
      </c>
      <c r="D249" s="104" t="s">
        <v>12</v>
      </c>
      <c r="E249" s="104" t="s">
        <v>32</v>
      </c>
      <c r="F249" s="51" t="e">
        <f>+VLOOKUP(C249,'[1]CRUCE RIESGOS'!$F$4:$G$281,2,FALSE)</f>
        <v>#N/A</v>
      </c>
    </row>
    <row r="250" spans="1:6" ht="42.75" x14ac:dyDescent="0.2">
      <c r="A250" s="94" t="s">
        <v>7</v>
      </c>
      <c r="B250" s="98" t="s">
        <v>441</v>
      </c>
      <c r="C250" s="50" t="s">
        <v>448</v>
      </c>
      <c r="D250" s="104" t="s">
        <v>12</v>
      </c>
      <c r="E250" s="104" t="s">
        <v>32</v>
      </c>
      <c r="F250" s="51"/>
    </row>
    <row r="251" spans="1:6" ht="30" x14ac:dyDescent="0.2">
      <c r="A251" s="94" t="s">
        <v>7</v>
      </c>
      <c r="B251" s="98" t="s">
        <v>441</v>
      </c>
      <c r="C251" s="85" t="s">
        <v>88</v>
      </c>
      <c r="D251" s="104" t="s">
        <v>42</v>
      </c>
      <c r="E251" s="104" t="s">
        <v>43</v>
      </c>
      <c r="F251" s="51" t="e">
        <f>+VLOOKUP(C251,'[1]CRUCE RIESGOS'!$F$4:$G$281,2,FALSE)</f>
        <v>#N/A</v>
      </c>
    </row>
    <row r="252" spans="1:6" ht="30" x14ac:dyDescent="0.2">
      <c r="A252" s="94" t="s">
        <v>7</v>
      </c>
      <c r="B252" s="98" t="s">
        <v>441</v>
      </c>
      <c r="C252" s="86" t="s">
        <v>429</v>
      </c>
      <c r="D252" s="104" t="s">
        <v>104</v>
      </c>
      <c r="E252" s="104" t="s">
        <v>105</v>
      </c>
      <c r="F252" s="51" t="e">
        <f>+VLOOKUP(C252,'[1]CRUCE RIESGOS'!$F$4:$G$281,2,FALSE)</f>
        <v>#N/A</v>
      </c>
    </row>
    <row r="253" spans="1:6" ht="30" x14ac:dyDescent="0.2">
      <c r="A253" s="94" t="s">
        <v>7</v>
      </c>
      <c r="B253" s="98" t="s">
        <v>441</v>
      </c>
      <c r="C253" s="86" t="s">
        <v>1852</v>
      </c>
      <c r="D253" s="104" t="s">
        <v>9</v>
      </c>
      <c r="E253" s="104" t="s">
        <v>41</v>
      </c>
      <c r="F253" s="51" t="e">
        <f>+VLOOKUP(C253,'[1]CRUCE RIESGOS'!$F$4:$G$281,2,FALSE)</f>
        <v>#N/A</v>
      </c>
    </row>
    <row r="254" spans="1:6" ht="42.75" x14ac:dyDescent="0.2">
      <c r="A254" s="94" t="s">
        <v>7</v>
      </c>
      <c r="B254" s="98" t="s">
        <v>441</v>
      </c>
      <c r="C254" s="50" t="s">
        <v>451</v>
      </c>
      <c r="D254" s="104" t="s">
        <v>12</v>
      </c>
      <c r="E254" s="104" t="s">
        <v>32</v>
      </c>
      <c r="F254" s="51" t="e">
        <f>+VLOOKUP(C254,'[1]CRUCE RIESGOS'!$F$4:$G$281,2,FALSE)</f>
        <v>#N/A</v>
      </c>
    </row>
    <row r="255" spans="1:6" ht="30" x14ac:dyDescent="0.2">
      <c r="A255" s="94" t="s">
        <v>7</v>
      </c>
      <c r="B255" s="98" t="s">
        <v>441</v>
      </c>
      <c r="C255" s="50" t="s">
        <v>452</v>
      </c>
      <c r="D255" s="104" t="s">
        <v>9</v>
      </c>
      <c r="E255" s="104" t="s">
        <v>18</v>
      </c>
      <c r="F255" s="51" t="e">
        <f>+VLOOKUP(C255,'[1]CRUCE RIESGOS'!$F$4:$G$281,2,FALSE)</f>
        <v>#N/A</v>
      </c>
    </row>
    <row r="256" spans="1:6" ht="30" x14ac:dyDescent="0.2">
      <c r="A256" s="94" t="s">
        <v>7</v>
      </c>
      <c r="B256" s="98" t="s">
        <v>441</v>
      </c>
      <c r="C256" s="50" t="s">
        <v>442</v>
      </c>
      <c r="D256" s="104" t="s">
        <v>9</v>
      </c>
      <c r="E256" s="104" t="s">
        <v>41</v>
      </c>
      <c r="F256" s="51" t="e">
        <f>+VLOOKUP(C256,'[1]CRUCE RIESGOS'!$F$4:$G$281,2,FALSE)</f>
        <v>#N/A</v>
      </c>
    </row>
    <row r="257" spans="1:6" ht="30" x14ac:dyDescent="0.2">
      <c r="A257" s="94" t="s">
        <v>7</v>
      </c>
      <c r="B257" s="98" t="s">
        <v>441</v>
      </c>
      <c r="C257" s="85" t="s">
        <v>443</v>
      </c>
      <c r="D257" s="104" t="s">
        <v>1837</v>
      </c>
      <c r="E257" s="104" t="s">
        <v>20</v>
      </c>
      <c r="F257" s="99" t="e">
        <f>+VLOOKUP(C257,'[1]CRUCE RIESGOS'!$F$4:$G$281,2,FALSE)</f>
        <v>#N/A</v>
      </c>
    </row>
    <row r="258" spans="1:6" ht="42.75" x14ac:dyDescent="0.2">
      <c r="A258" s="94" t="s">
        <v>7</v>
      </c>
      <c r="B258" s="98" t="s">
        <v>441</v>
      </c>
      <c r="C258" s="85" t="s">
        <v>444</v>
      </c>
      <c r="D258" s="104" t="s">
        <v>12</v>
      </c>
      <c r="E258" s="104" t="s">
        <v>40</v>
      </c>
      <c r="F258" s="51" t="e">
        <f>+VLOOKUP(C258,'[1]CRUCE RIESGOS'!$F$4:$G$281,2,FALSE)</f>
        <v>#N/A</v>
      </c>
    </row>
    <row r="259" spans="1:6" ht="30" x14ac:dyDescent="0.2">
      <c r="A259" s="94" t="s">
        <v>7</v>
      </c>
      <c r="B259" s="98" t="s">
        <v>441</v>
      </c>
      <c r="C259" s="50" t="s">
        <v>445</v>
      </c>
      <c r="D259" s="104" t="s">
        <v>11</v>
      </c>
      <c r="E259" s="104" t="s">
        <v>1639</v>
      </c>
      <c r="F259" s="51"/>
    </row>
    <row r="260" spans="1:6" ht="42.75" x14ac:dyDescent="0.2">
      <c r="A260" s="94" t="s">
        <v>7</v>
      </c>
      <c r="B260" s="98" t="s">
        <v>441</v>
      </c>
      <c r="C260" s="50" t="s">
        <v>446</v>
      </c>
      <c r="D260" s="104" t="s">
        <v>9</v>
      </c>
      <c r="E260" s="104" t="s">
        <v>18</v>
      </c>
      <c r="F260" s="51"/>
    </row>
    <row r="261" spans="1:6" ht="30" x14ac:dyDescent="0.2">
      <c r="A261" s="94" t="s">
        <v>7</v>
      </c>
      <c r="B261" s="98" t="s">
        <v>441</v>
      </c>
      <c r="C261" s="50" t="s">
        <v>447</v>
      </c>
      <c r="D261" s="104" t="s">
        <v>1837</v>
      </c>
      <c r="E261" s="104" t="s">
        <v>14</v>
      </c>
      <c r="F261" s="51"/>
    </row>
    <row r="262" spans="1:6" ht="42.75" x14ac:dyDescent="0.2">
      <c r="A262" s="94" t="s">
        <v>7</v>
      </c>
      <c r="B262" s="98" t="s">
        <v>455</v>
      </c>
      <c r="C262" s="50" t="s">
        <v>456</v>
      </c>
      <c r="D262" s="104" t="s">
        <v>42</v>
      </c>
      <c r="E262" s="104" t="s">
        <v>43</v>
      </c>
      <c r="F262" s="99" t="str">
        <f>+VLOOKUP(C262,'[1]CRUCE RIESGOS'!$F$4:$G$281,2,FALSE)</f>
        <v>No implementación de las actividades programadas y aprobadas del Sistema de Gestión de Seguridad de la Información.</v>
      </c>
    </row>
    <row r="263" spans="1:6" ht="42.75" x14ac:dyDescent="0.2">
      <c r="A263" s="94" t="s">
        <v>7</v>
      </c>
      <c r="B263" s="98" t="s">
        <v>455</v>
      </c>
      <c r="C263" s="50" t="s">
        <v>457</v>
      </c>
      <c r="D263" s="104" t="s">
        <v>11</v>
      </c>
      <c r="E263" s="104" t="s">
        <v>1639</v>
      </c>
      <c r="F263" s="51" t="e">
        <f>+VLOOKUP(C263,'[1]CRUCE RIESGOS'!$F$4:$G$281,2,FALSE)</f>
        <v>#N/A</v>
      </c>
    </row>
    <row r="264" spans="1:6" ht="30" x14ac:dyDescent="0.2">
      <c r="A264" s="94" t="s">
        <v>7</v>
      </c>
      <c r="B264" s="98" t="s">
        <v>455</v>
      </c>
      <c r="C264" s="50" t="s">
        <v>458</v>
      </c>
      <c r="D264" s="104" t="s">
        <v>9</v>
      </c>
      <c r="E264" s="104" t="s">
        <v>173</v>
      </c>
      <c r="F264" s="99" t="e">
        <f>+VLOOKUP(C264,'[1]CRUCE RIESGOS'!$F$4:$G$281,2,FALSE)</f>
        <v>#N/A</v>
      </c>
    </row>
    <row r="265" spans="1:6" ht="42.75" x14ac:dyDescent="0.2">
      <c r="A265" s="94" t="s">
        <v>7</v>
      </c>
      <c r="B265" s="98" t="s">
        <v>455</v>
      </c>
      <c r="C265" s="50" t="s">
        <v>459</v>
      </c>
      <c r="D265" s="104" t="s">
        <v>9</v>
      </c>
      <c r="E265" s="104" t="s">
        <v>41</v>
      </c>
      <c r="F265" s="51" t="e">
        <f>+VLOOKUP(C265,'[1]CRUCE RIESGOS'!$F$4:$G$281,2,FALSE)</f>
        <v>#N/A</v>
      </c>
    </row>
    <row r="266" spans="1:6" ht="42.75" x14ac:dyDescent="0.2">
      <c r="A266" s="94" t="s">
        <v>7</v>
      </c>
      <c r="B266" s="98" t="s">
        <v>455</v>
      </c>
      <c r="C266" s="50" t="s">
        <v>460</v>
      </c>
      <c r="D266" s="104" t="s">
        <v>9</v>
      </c>
      <c r="E266" s="104" t="s">
        <v>26</v>
      </c>
      <c r="F266" s="51" t="e">
        <f>+VLOOKUP(C266,'[1]CRUCE RIESGOS'!$F$4:$G$281,2,FALSE)</f>
        <v>#N/A</v>
      </c>
    </row>
    <row r="267" spans="1:6" ht="30" x14ac:dyDescent="0.2">
      <c r="A267" s="94" t="s">
        <v>7</v>
      </c>
      <c r="B267" s="98" t="s">
        <v>455</v>
      </c>
      <c r="C267" s="50" t="s">
        <v>461</v>
      </c>
      <c r="D267" s="104" t="s">
        <v>1837</v>
      </c>
      <c r="E267" s="104" t="s">
        <v>138</v>
      </c>
      <c r="F267" s="99" t="e">
        <f>+VLOOKUP(C267,'[1]CRUCE RIESGOS'!$F$4:$G$281,2,FALSE)</f>
        <v>#N/A</v>
      </c>
    </row>
    <row r="268" spans="1:6" ht="42.75" x14ac:dyDescent="0.2">
      <c r="A268" s="94" t="s">
        <v>7</v>
      </c>
      <c r="B268" s="98" t="s">
        <v>455</v>
      </c>
      <c r="C268" s="50" t="s">
        <v>462</v>
      </c>
      <c r="D268" s="104" t="s">
        <v>9</v>
      </c>
      <c r="E268" s="104" t="s">
        <v>18</v>
      </c>
      <c r="F268" s="51" t="e">
        <f>+VLOOKUP(C268,'[1]CRUCE RIESGOS'!$F$4:$G$281,2,FALSE)</f>
        <v>#N/A</v>
      </c>
    </row>
    <row r="269" spans="1:6" ht="42.75" x14ac:dyDescent="0.2">
      <c r="A269" s="94" t="s">
        <v>7</v>
      </c>
      <c r="B269" s="98" t="s">
        <v>455</v>
      </c>
      <c r="C269" s="50" t="s">
        <v>463</v>
      </c>
      <c r="D269" s="104" t="s">
        <v>12</v>
      </c>
      <c r="E269" s="104" t="s">
        <v>1573</v>
      </c>
      <c r="F269" s="99" t="e">
        <f>+VLOOKUP(C269,'[1]CRUCE RIESGOS'!$F$4:$G$281,2,FALSE)</f>
        <v>#N/A</v>
      </c>
    </row>
    <row r="270" spans="1:6" ht="30" x14ac:dyDescent="0.2">
      <c r="A270" s="94" t="s">
        <v>7</v>
      </c>
      <c r="B270" s="98" t="s">
        <v>455</v>
      </c>
      <c r="C270" s="85" t="s">
        <v>464</v>
      </c>
      <c r="D270" s="104" t="s">
        <v>42</v>
      </c>
      <c r="E270" s="104" t="s">
        <v>43</v>
      </c>
      <c r="F270" s="99" t="e">
        <f>+VLOOKUP(C270,'[1]CRUCE RIESGOS'!$F$4:$G$281,2,FALSE)</f>
        <v>#N/A</v>
      </c>
    </row>
    <row r="271" spans="1:6" ht="30" x14ac:dyDescent="0.2">
      <c r="A271" s="94" t="s">
        <v>7</v>
      </c>
      <c r="B271" s="98" t="s">
        <v>455</v>
      </c>
      <c r="C271" s="50" t="s">
        <v>465</v>
      </c>
      <c r="D271" s="104" t="s">
        <v>1837</v>
      </c>
      <c r="E271" s="104" t="s">
        <v>138</v>
      </c>
      <c r="F271" s="99" t="e">
        <f>+VLOOKUP(C271,'[1]CRUCE RIESGOS'!$F$4:$G$281,2,FALSE)</f>
        <v>#N/A</v>
      </c>
    </row>
    <row r="272" spans="1:6" ht="30" x14ac:dyDescent="0.2">
      <c r="A272" s="94" t="s">
        <v>7</v>
      </c>
      <c r="B272" s="98" t="s">
        <v>455</v>
      </c>
      <c r="C272" s="50" t="s">
        <v>466</v>
      </c>
      <c r="D272" s="104" t="s">
        <v>16</v>
      </c>
      <c r="E272" s="104" t="s">
        <v>17</v>
      </c>
      <c r="F272" s="99" t="e">
        <f>+VLOOKUP(C272,'[1]CRUCE RIESGOS'!$F$4:$G$281,2,FALSE)</f>
        <v>#N/A</v>
      </c>
    </row>
    <row r="273" spans="1:6" ht="30" x14ac:dyDescent="0.2">
      <c r="A273" s="94" t="s">
        <v>7</v>
      </c>
      <c r="B273" s="98" t="s">
        <v>455</v>
      </c>
      <c r="C273" s="50" t="s">
        <v>467</v>
      </c>
      <c r="D273" s="104" t="s">
        <v>9</v>
      </c>
      <c r="E273" s="104" t="s">
        <v>18</v>
      </c>
      <c r="F273" s="99" t="e">
        <f>+VLOOKUP(C273,'[1]CRUCE RIESGOS'!$F$4:$G$281,2,FALSE)</f>
        <v>#N/A</v>
      </c>
    </row>
    <row r="274" spans="1:6" ht="42.75" x14ac:dyDescent="0.2">
      <c r="A274" s="94" t="s">
        <v>7</v>
      </c>
      <c r="B274" s="98" t="s">
        <v>455</v>
      </c>
      <c r="C274" s="50" t="s">
        <v>468</v>
      </c>
      <c r="D274" s="104" t="s">
        <v>42</v>
      </c>
      <c r="E274" s="104" t="s">
        <v>43</v>
      </c>
      <c r="F274" s="99" t="e">
        <f>+VLOOKUP(C274,'[1]CRUCE RIESGOS'!$F$4:$G$281,2,FALSE)</f>
        <v>#N/A</v>
      </c>
    </row>
    <row r="275" spans="1:6" ht="42.75" x14ac:dyDescent="0.2">
      <c r="A275" s="94" t="s">
        <v>7</v>
      </c>
      <c r="B275" s="98" t="s">
        <v>455</v>
      </c>
      <c r="C275" s="50" t="s">
        <v>1853</v>
      </c>
      <c r="D275" s="104" t="s">
        <v>12</v>
      </c>
      <c r="E275" s="104" t="s">
        <v>35</v>
      </c>
      <c r="F275" s="51" t="e">
        <f>+VLOOKUP(C275,'[1]CRUCE RIESGOS'!$F$4:$G$281,2,FALSE)</f>
        <v>#N/A</v>
      </c>
    </row>
    <row r="276" spans="1:6" ht="30" x14ac:dyDescent="0.2">
      <c r="A276" s="94" t="s">
        <v>7</v>
      </c>
      <c r="B276" s="98" t="s">
        <v>455</v>
      </c>
      <c r="C276" s="50" t="s">
        <v>469</v>
      </c>
      <c r="D276" s="104" t="s">
        <v>1837</v>
      </c>
      <c r="E276" s="104" t="s">
        <v>22</v>
      </c>
      <c r="F276" s="51" t="e">
        <f>+VLOOKUP(C276,'[1]CRUCE RIESGOS'!$F$4:$G$281,2,FALSE)</f>
        <v>#N/A</v>
      </c>
    </row>
    <row r="277" spans="1:6" ht="30" x14ac:dyDescent="0.2">
      <c r="A277" s="94" t="s">
        <v>7</v>
      </c>
      <c r="B277" s="98" t="s">
        <v>455</v>
      </c>
      <c r="C277" s="50" t="s">
        <v>470</v>
      </c>
      <c r="D277" s="104" t="s">
        <v>11</v>
      </c>
      <c r="E277" s="104" t="s">
        <v>1841</v>
      </c>
      <c r="F277" s="51"/>
    </row>
    <row r="278" spans="1:6" ht="42.75" x14ac:dyDescent="0.2">
      <c r="A278" s="94" t="s">
        <v>7</v>
      </c>
      <c r="B278" s="98" t="s">
        <v>481</v>
      </c>
      <c r="C278" s="50" t="s">
        <v>483</v>
      </c>
      <c r="D278" s="104" t="s">
        <v>12</v>
      </c>
      <c r="E278" s="104" t="s">
        <v>13</v>
      </c>
      <c r="F278" s="51" t="e">
        <f>+VLOOKUP(C278,'[1]CRUCE RIESGOS'!$F$4:$G$281,2,FALSE)</f>
        <v>#N/A</v>
      </c>
    </row>
    <row r="279" spans="1:6" ht="42.75" x14ac:dyDescent="0.2">
      <c r="A279" s="94" t="s">
        <v>7</v>
      </c>
      <c r="B279" s="98" t="s">
        <v>481</v>
      </c>
      <c r="C279" s="97" t="s">
        <v>485</v>
      </c>
      <c r="D279" s="104" t="s">
        <v>1837</v>
      </c>
      <c r="E279" s="104" t="s">
        <v>1846</v>
      </c>
      <c r="F279" s="51" t="e">
        <f>+VLOOKUP(C279,'[1]CRUCE RIESGOS'!$F$4:$G$281,2,FALSE)</f>
        <v>#N/A</v>
      </c>
    </row>
    <row r="280" spans="1:6" ht="30" x14ac:dyDescent="0.2">
      <c r="A280" s="94" t="s">
        <v>7</v>
      </c>
      <c r="B280" s="98" t="s">
        <v>481</v>
      </c>
      <c r="C280" s="50" t="s">
        <v>482</v>
      </c>
      <c r="D280" s="104" t="s">
        <v>9</v>
      </c>
      <c r="E280" s="104" t="s">
        <v>33</v>
      </c>
      <c r="F280" s="51" t="e">
        <f>+VLOOKUP(C280,'[1]CRUCE RIESGOS'!$F$4:$G$281,2,FALSE)</f>
        <v>#N/A</v>
      </c>
    </row>
    <row r="281" spans="1:6" ht="57" x14ac:dyDescent="0.2">
      <c r="A281" s="94" t="s">
        <v>7</v>
      </c>
      <c r="B281" s="98" t="s">
        <v>481</v>
      </c>
      <c r="C281" s="50" t="s">
        <v>484</v>
      </c>
      <c r="D281" s="104" t="s">
        <v>12</v>
      </c>
      <c r="E281" s="104" t="s">
        <v>93</v>
      </c>
      <c r="F281" s="51" t="e">
        <f>+VLOOKUP(C281,'[1]CRUCE RIESGOS'!$F$4:$G$281,2,FALSE)</f>
        <v>#N/A</v>
      </c>
    </row>
    <row r="282" spans="1:6" ht="30" x14ac:dyDescent="0.2">
      <c r="A282" s="94" t="s">
        <v>7</v>
      </c>
      <c r="B282" s="98" t="s">
        <v>481</v>
      </c>
      <c r="C282" s="50" t="s">
        <v>486</v>
      </c>
      <c r="D282" s="104" t="s">
        <v>1837</v>
      </c>
      <c r="E282" s="104" t="s">
        <v>487</v>
      </c>
      <c r="F282" s="51" t="e">
        <f>+VLOOKUP(C282,'[1]CRUCE RIESGOS'!$F$4:$G$281,2,FALSE)</f>
        <v>#N/A</v>
      </c>
    </row>
    <row r="283" spans="1:6" ht="42.75" x14ac:dyDescent="0.2">
      <c r="A283" s="94" t="s">
        <v>7</v>
      </c>
      <c r="B283" s="98" t="s">
        <v>481</v>
      </c>
      <c r="C283" s="50" t="s">
        <v>488</v>
      </c>
      <c r="D283" s="104" t="s">
        <v>12</v>
      </c>
      <c r="E283" s="104" t="s">
        <v>93</v>
      </c>
      <c r="F283" s="99" t="e">
        <f>+VLOOKUP(C283,'[1]CRUCE RIESGOS'!$F$4:$G$281,2,FALSE)</f>
        <v>#N/A</v>
      </c>
    </row>
    <row r="284" spans="1:6" ht="30" x14ac:dyDescent="0.2">
      <c r="A284" s="94" t="s">
        <v>7</v>
      </c>
      <c r="B284" s="98" t="s">
        <v>481</v>
      </c>
      <c r="C284" s="96" t="s">
        <v>489</v>
      </c>
      <c r="D284" s="104" t="s">
        <v>9</v>
      </c>
      <c r="E284" s="104" t="s">
        <v>18</v>
      </c>
      <c r="F284" s="51" t="e">
        <f>+VLOOKUP(C284,'[1]CRUCE RIESGOS'!$F$4:$G$281,2,FALSE)</f>
        <v>#N/A</v>
      </c>
    </row>
    <row r="285" spans="1:6" ht="30" x14ac:dyDescent="0.2">
      <c r="A285" s="94" t="s">
        <v>7</v>
      </c>
      <c r="B285" s="98" t="s">
        <v>481</v>
      </c>
      <c r="C285" s="50" t="s">
        <v>490</v>
      </c>
      <c r="D285" s="104" t="s">
        <v>1837</v>
      </c>
      <c r="E285" s="104" t="s">
        <v>70</v>
      </c>
      <c r="F285" s="99" t="e">
        <f>+VLOOKUP(C285,'[1]CRUCE RIESGOS'!$F$4:$G$281,2,FALSE)</f>
        <v>#N/A</v>
      </c>
    </row>
    <row r="286" spans="1:6" ht="42.75" x14ac:dyDescent="0.2">
      <c r="A286" s="94" t="s">
        <v>7</v>
      </c>
      <c r="B286" s="98" t="s">
        <v>481</v>
      </c>
      <c r="C286" s="50" t="s">
        <v>491</v>
      </c>
      <c r="D286" s="104" t="s">
        <v>12</v>
      </c>
      <c r="E286" s="104" t="s">
        <v>1573</v>
      </c>
      <c r="F286" s="51" t="e">
        <f>+VLOOKUP(C286,'[1]CRUCE RIESGOS'!$F$4:$G$281,2,FALSE)</f>
        <v>#N/A</v>
      </c>
    </row>
    <row r="287" spans="1:6" ht="30" x14ac:dyDescent="0.2">
      <c r="A287" s="94" t="s">
        <v>7</v>
      </c>
      <c r="B287" s="98" t="s">
        <v>481</v>
      </c>
      <c r="C287" s="50" t="s">
        <v>492</v>
      </c>
      <c r="D287" s="104" t="s">
        <v>1837</v>
      </c>
      <c r="E287" s="104" t="s">
        <v>70</v>
      </c>
      <c r="F287" s="99" t="e">
        <f>+VLOOKUP(C287,'[1]CRUCE RIESGOS'!$F$4:$G$281,2,FALSE)</f>
        <v>#N/A</v>
      </c>
    </row>
    <row r="288" spans="1:6" ht="30" x14ac:dyDescent="0.2">
      <c r="A288" s="94" t="s">
        <v>7</v>
      </c>
      <c r="B288" s="98" t="s">
        <v>481</v>
      </c>
      <c r="C288" s="50" t="s">
        <v>1854</v>
      </c>
      <c r="D288" s="104" t="s">
        <v>9</v>
      </c>
      <c r="E288" s="104" t="s">
        <v>18</v>
      </c>
      <c r="F288" s="51" t="e">
        <f>+VLOOKUP(C288,'[1]CRUCE RIESGOS'!$F$4:$G$281,2,FALSE)</f>
        <v>#N/A</v>
      </c>
    </row>
    <row r="289" spans="1:6" ht="30" x14ac:dyDescent="0.2">
      <c r="A289" s="94" t="s">
        <v>7</v>
      </c>
      <c r="B289" s="98" t="s">
        <v>481</v>
      </c>
      <c r="C289" s="85" t="s">
        <v>494</v>
      </c>
      <c r="D289" s="104" t="s">
        <v>16</v>
      </c>
      <c r="E289" s="104" t="s">
        <v>144</v>
      </c>
      <c r="F289" s="51" t="e">
        <f>+VLOOKUP(C289,'[1]CRUCE RIESGOS'!$F$4:$G$281,2,FALSE)</f>
        <v>#N/A</v>
      </c>
    </row>
    <row r="290" spans="1:6" ht="30" x14ac:dyDescent="0.2">
      <c r="A290" s="94" t="s">
        <v>7</v>
      </c>
      <c r="B290" s="98" t="s">
        <v>481</v>
      </c>
      <c r="C290" s="85" t="s">
        <v>495</v>
      </c>
      <c r="D290" s="104" t="s">
        <v>9</v>
      </c>
      <c r="E290" s="104" t="s">
        <v>10</v>
      </c>
      <c r="F290" s="99" t="e">
        <f>+VLOOKUP(C290,'[1]CRUCE RIESGOS'!$F$4:$G$281,2,FALSE)</f>
        <v>#N/A</v>
      </c>
    </row>
    <row r="291" spans="1:6" ht="30" x14ac:dyDescent="0.2">
      <c r="A291" s="94" t="s">
        <v>7</v>
      </c>
      <c r="B291" s="98" t="s">
        <v>481</v>
      </c>
      <c r="C291" s="85" t="s">
        <v>496</v>
      </c>
      <c r="D291" s="104" t="s">
        <v>16</v>
      </c>
      <c r="E291" s="104" t="s">
        <v>17</v>
      </c>
      <c r="F291" s="51" t="e">
        <f>+VLOOKUP(C291,'[1]CRUCE RIESGOS'!$F$4:$G$281,2,FALSE)</f>
        <v>#N/A</v>
      </c>
    </row>
    <row r="292" spans="1:6" ht="30" x14ac:dyDescent="0.2">
      <c r="A292" s="94" t="s">
        <v>7</v>
      </c>
      <c r="B292" s="98" t="s">
        <v>481</v>
      </c>
      <c r="C292" s="85" t="s">
        <v>497</v>
      </c>
      <c r="D292" s="104" t="s">
        <v>1837</v>
      </c>
      <c r="E292" s="104" t="s">
        <v>22</v>
      </c>
      <c r="F292" s="51" t="e">
        <f>+VLOOKUP(C292,'[1]CRUCE RIESGOS'!$F$4:$G$281,2,FALSE)</f>
        <v>#N/A</v>
      </c>
    </row>
    <row r="293" spans="1:6" ht="30" x14ac:dyDescent="0.2">
      <c r="A293" s="94" t="s">
        <v>7</v>
      </c>
      <c r="B293" s="98" t="s">
        <v>481</v>
      </c>
      <c r="C293" s="85" t="s">
        <v>498</v>
      </c>
      <c r="D293" s="104" t="s">
        <v>1837</v>
      </c>
      <c r="E293" s="104" t="s">
        <v>22</v>
      </c>
      <c r="F293" s="51" t="e">
        <f>+VLOOKUP(C293,'[1]CRUCE RIESGOS'!$F$4:$G$281,2,FALSE)</f>
        <v>#N/A</v>
      </c>
    </row>
    <row r="294" spans="1:6" ht="42.75" x14ac:dyDescent="0.2">
      <c r="A294" s="94" t="s">
        <v>7</v>
      </c>
      <c r="B294" s="98" t="s">
        <v>481</v>
      </c>
      <c r="C294" s="85" t="s">
        <v>499</v>
      </c>
      <c r="D294" s="104" t="s">
        <v>1837</v>
      </c>
      <c r="E294" s="104" t="s">
        <v>70</v>
      </c>
      <c r="F294" s="51" t="e">
        <f>+VLOOKUP(C294,'[1]CRUCE RIESGOS'!$F$4:$G$281,2,FALSE)</f>
        <v>#N/A</v>
      </c>
    </row>
    <row r="295" spans="1:6" ht="30" x14ac:dyDescent="0.2">
      <c r="A295" s="94" t="s">
        <v>7</v>
      </c>
      <c r="B295" s="98" t="s">
        <v>481</v>
      </c>
      <c r="C295" s="85" t="s">
        <v>500</v>
      </c>
      <c r="D295" s="104" t="s">
        <v>9</v>
      </c>
      <c r="E295" s="104" t="s">
        <v>41</v>
      </c>
      <c r="F295" s="51" t="e">
        <f>+VLOOKUP(C295,'[1]CRUCE RIESGOS'!$F$4:$G$281,2,FALSE)</f>
        <v>#N/A</v>
      </c>
    </row>
    <row r="296" spans="1:6" ht="42.75" x14ac:dyDescent="0.2">
      <c r="A296" s="94" t="s">
        <v>7</v>
      </c>
      <c r="B296" s="98" t="s">
        <v>481</v>
      </c>
      <c r="C296" s="85" t="s">
        <v>501</v>
      </c>
      <c r="D296" s="104" t="s">
        <v>9</v>
      </c>
      <c r="E296" s="104" t="s">
        <v>26</v>
      </c>
      <c r="F296" s="51" t="e">
        <f>+VLOOKUP(C296,'[1]CRUCE RIESGOS'!$F$4:$G$281,2,FALSE)</f>
        <v>#N/A</v>
      </c>
    </row>
    <row r="297" spans="1:6" ht="30" x14ac:dyDescent="0.2">
      <c r="A297" s="94" t="s">
        <v>7</v>
      </c>
      <c r="B297" s="98" t="s">
        <v>481</v>
      </c>
      <c r="C297" s="85" t="s">
        <v>502</v>
      </c>
      <c r="D297" s="104" t="s">
        <v>9</v>
      </c>
      <c r="E297" s="104" t="s">
        <v>41</v>
      </c>
      <c r="F297" s="51" t="e">
        <f>+VLOOKUP(C297,'[1]CRUCE RIESGOS'!$F$4:$G$281,2,FALSE)</f>
        <v>#N/A</v>
      </c>
    </row>
    <row r="298" spans="1:6" ht="30" x14ac:dyDescent="0.2">
      <c r="A298" s="94" t="s">
        <v>7</v>
      </c>
      <c r="B298" s="98" t="s">
        <v>481</v>
      </c>
      <c r="C298" s="96" t="s">
        <v>1855</v>
      </c>
      <c r="D298" s="104" t="s">
        <v>11</v>
      </c>
      <c r="E298" s="104" t="s">
        <v>1841</v>
      </c>
      <c r="F298" s="51"/>
    </row>
    <row r="299" spans="1:6" ht="30" x14ac:dyDescent="0.2">
      <c r="A299" s="94" t="s">
        <v>7</v>
      </c>
      <c r="B299" s="98" t="s">
        <v>481</v>
      </c>
      <c r="C299" s="85" t="s">
        <v>1856</v>
      </c>
      <c r="D299" s="104" t="s">
        <v>16</v>
      </c>
      <c r="E299" s="104" t="s">
        <v>17</v>
      </c>
      <c r="F299" s="51"/>
    </row>
    <row r="300" spans="1:6" ht="42.75" x14ac:dyDescent="0.2">
      <c r="A300" s="94" t="s">
        <v>7</v>
      </c>
      <c r="B300" s="98" t="s">
        <v>481</v>
      </c>
      <c r="C300" s="96" t="s">
        <v>1857</v>
      </c>
      <c r="D300" s="104" t="s">
        <v>16</v>
      </c>
      <c r="E300" s="104" t="s">
        <v>103</v>
      </c>
      <c r="F300" s="51"/>
    </row>
    <row r="301" spans="1:6" ht="45" x14ac:dyDescent="0.2">
      <c r="A301" s="94" t="s">
        <v>7</v>
      </c>
      <c r="B301" s="98" t="s">
        <v>507</v>
      </c>
      <c r="C301" s="97" t="s">
        <v>508</v>
      </c>
      <c r="D301" s="104" t="s">
        <v>1837</v>
      </c>
      <c r="E301" s="104" t="s">
        <v>1846</v>
      </c>
      <c r="F301" s="51"/>
    </row>
    <row r="302" spans="1:6" ht="45" x14ac:dyDescent="0.2">
      <c r="A302" s="94" t="s">
        <v>7</v>
      </c>
      <c r="B302" s="98" t="s">
        <v>507</v>
      </c>
      <c r="C302" s="96" t="s">
        <v>509</v>
      </c>
      <c r="D302" s="104" t="s">
        <v>9</v>
      </c>
      <c r="E302" s="104" t="s">
        <v>33</v>
      </c>
      <c r="F302" s="51"/>
    </row>
    <row r="303" spans="1:6" ht="45" x14ac:dyDescent="0.2">
      <c r="A303" s="94" t="s">
        <v>7</v>
      </c>
      <c r="B303" s="98" t="s">
        <v>507</v>
      </c>
      <c r="C303" s="96" t="s">
        <v>510</v>
      </c>
      <c r="D303" s="104" t="s">
        <v>11</v>
      </c>
      <c r="E303" s="104" t="s">
        <v>1841</v>
      </c>
      <c r="F303" s="51"/>
    </row>
    <row r="304" spans="1:6" ht="45" x14ac:dyDescent="0.2">
      <c r="A304" s="94" t="s">
        <v>7</v>
      </c>
      <c r="B304" s="98" t="s">
        <v>507</v>
      </c>
      <c r="C304" s="96" t="s">
        <v>511</v>
      </c>
      <c r="D304" s="104" t="s">
        <v>9</v>
      </c>
      <c r="E304" s="104" t="s">
        <v>18</v>
      </c>
      <c r="F304" s="51"/>
    </row>
    <row r="305" spans="1:6" ht="45" x14ac:dyDescent="0.2">
      <c r="A305" s="94" t="s">
        <v>7</v>
      </c>
      <c r="B305" s="98" t="s">
        <v>507</v>
      </c>
      <c r="C305" s="96" t="s">
        <v>512</v>
      </c>
      <c r="D305" s="104" t="s">
        <v>1837</v>
      </c>
      <c r="E305" s="104" t="s">
        <v>70</v>
      </c>
      <c r="F305" s="51"/>
    </row>
    <row r="306" spans="1:6" ht="45" x14ac:dyDescent="0.2">
      <c r="A306" s="94" t="s">
        <v>7</v>
      </c>
      <c r="B306" s="98" t="s">
        <v>507</v>
      </c>
      <c r="C306" s="96" t="s">
        <v>513</v>
      </c>
      <c r="D306" s="104" t="s">
        <v>1837</v>
      </c>
      <c r="E306" s="104" t="s">
        <v>62</v>
      </c>
      <c r="F306" s="51"/>
    </row>
    <row r="307" spans="1:6" ht="45" x14ac:dyDescent="0.2">
      <c r="A307" s="94" t="s">
        <v>7</v>
      </c>
      <c r="B307" s="98" t="s">
        <v>507</v>
      </c>
      <c r="C307" s="96" t="s">
        <v>514</v>
      </c>
      <c r="D307" s="104" t="s">
        <v>16</v>
      </c>
      <c r="E307" s="104" t="s">
        <v>144</v>
      </c>
      <c r="F307" s="51"/>
    </row>
    <row r="308" spans="1:6" ht="45" x14ac:dyDescent="0.2">
      <c r="A308" s="94" t="s">
        <v>7</v>
      </c>
      <c r="B308" s="98" t="s">
        <v>507</v>
      </c>
      <c r="C308" s="96" t="s">
        <v>515</v>
      </c>
      <c r="D308" s="104" t="s">
        <v>16</v>
      </c>
      <c r="E308" s="104" t="s">
        <v>144</v>
      </c>
      <c r="F308" s="51"/>
    </row>
    <row r="309" spans="1:6" ht="45" x14ac:dyDescent="0.2">
      <c r="A309" s="94" t="s">
        <v>7</v>
      </c>
      <c r="B309" s="98" t="s">
        <v>507</v>
      </c>
      <c r="C309" s="96" t="s">
        <v>516</v>
      </c>
      <c r="D309" s="104" t="s">
        <v>9</v>
      </c>
      <c r="E309" s="104" t="s">
        <v>18</v>
      </c>
      <c r="F309" s="51"/>
    </row>
    <row r="310" spans="1:6" ht="45" x14ac:dyDescent="0.2">
      <c r="A310" s="94" t="s">
        <v>7</v>
      </c>
      <c r="B310" s="98" t="s">
        <v>507</v>
      </c>
      <c r="C310" s="96" t="s">
        <v>517</v>
      </c>
      <c r="D310" s="104" t="s">
        <v>1837</v>
      </c>
      <c r="E310" s="104" t="s">
        <v>22</v>
      </c>
      <c r="F310" s="51"/>
    </row>
    <row r="311" spans="1:6" ht="45" x14ac:dyDescent="0.2">
      <c r="A311" s="94" t="s">
        <v>7</v>
      </c>
      <c r="B311" s="98" t="s">
        <v>507</v>
      </c>
      <c r="C311" s="96" t="s">
        <v>518</v>
      </c>
      <c r="D311" s="104" t="s">
        <v>12</v>
      </c>
      <c r="E311" s="104" t="s">
        <v>169</v>
      </c>
      <c r="F311" s="51"/>
    </row>
    <row r="312" spans="1:6" ht="45" x14ac:dyDescent="0.2">
      <c r="A312" s="94" t="s">
        <v>7</v>
      </c>
      <c r="B312" s="98" t="s">
        <v>507</v>
      </c>
      <c r="C312" s="96" t="s">
        <v>519</v>
      </c>
      <c r="D312" s="104" t="s">
        <v>59</v>
      </c>
      <c r="E312" s="104" t="s">
        <v>60</v>
      </c>
      <c r="F312" s="51"/>
    </row>
    <row r="313" spans="1:6" ht="45" x14ac:dyDescent="0.2">
      <c r="A313" s="94" t="s">
        <v>7</v>
      </c>
      <c r="B313" s="98" t="s">
        <v>507</v>
      </c>
      <c r="C313" s="96" t="s">
        <v>520</v>
      </c>
      <c r="D313" s="104" t="s">
        <v>9</v>
      </c>
      <c r="E313" s="104" t="s">
        <v>41</v>
      </c>
      <c r="F313" s="51"/>
    </row>
    <row r="314" spans="1:6" ht="45" x14ac:dyDescent="0.2">
      <c r="A314" s="94" t="s">
        <v>7</v>
      </c>
      <c r="B314" s="98" t="s">
        <v>507</v>
      </c>
      <c r="C314" s="96" t="s">
        <v>521</v>
      </c>
      <c r="D314" s="104" t="s">
        <v>12</v>
      </c>
      <c r="E314" s="104" t="s">
        <v>35</v>
      </c>
      <c r="F314" s="51"/>
    </row>
    <row r="315" spans="1:6" ht="45" x14ac:dyDescent="0.2">
      <c r="A315" s="94" t="s">
        <v>7</v>
      </c>
      <c r="B315" s="98" t="s">
        <v>507</v>
      </c>
      <c r="C315" s="96" t="s">
        <v>522</v>
      </c>
      <c r="D315" s="104" t="s">
        <v>11</v>
      </c>
      <c r="E315" s="104" t="s">
        <v>1841</v>
      </c>
      <c r="F315" s="51"/>
    </row>
    <row r="316" spans="1:6" ht="45" x14ac:dyDescent="0.2">
      <c r="A316" s="94" t="s">
        <v>7</v>
      </c>
      <c r="B316" s="98" t="s">
        <v>507</v>
      </c>
      <c r="C316" s="96" t="s">
        <v>523</v>
      </c>
      <c r="D316" s="104" t="s">
        <v>12</v>
      </c>
      <c r="E316" s="104" t="s">
        <v>13</v>
      </c>
      <c r="F316" s="51"/>
    </row>
    <row r="317" spans="1:6" ht="45" x14ac:dyDescent="0.2">
      <c r="A317" s="94" t="s">
        <v>7</v>
      </c>
      <c r="B317" s="98" t="s">
        <v>507</v>
      </c>
      <c r="C317" s="96" t="s">
        <v>1858</v>
      </c>
      <c r="D317" s="104" t="s">
        <v>11</v>
      </c>
      <c r="E317" s="104" t="s">
        <v>1841</v>
      </c>
      <c r="F317" s="51"/>
    </row>
    <row r="318" spans="1:6" ht="45" x14ac:dyDescent="0.2">
      <c r="A318" s="94" t="s">
        <v>7</v>
      </c>
      <c r="B318" s="98" t="s">
        <v>507</v>
      </c>
      <c r="C318" s="96" t="s">
        <v>1859</v>
      </c>
      <c r="D318" s="104" t="s">
        <v>16</v>
      </c>
      <c r="E318" s="104" t="s">
        <v>144</v>
      </c>
      <c r="F318" s="51"/>
    </row>
    <row r="319" spans="1:6" ht="45" x14ac:dyDescent="0.2">
      <c r="A319" s="94" t="s">
        <v>7</v>
      </c>
      <c r="B319" s="98" t="s">
        <v>507</v>
      </c>
      <c r="C319" s="96" t="s">
        <v>1860</v>
      </c>
      <c r="D319" s="104" t="s">
        <v>16</v>
      </c>
      <c r="E319" s="104" t="s">
        <v>17</v>
      </c>
      <c r="F319" s="51"/>
    </row>
    <row r="320" spans="1:6" ht="45" x14ac:dyDescent="0.2">
      <c r="A320" s="94" t="s">
        <v>7</v>
      </c>
      <c r="B320" s="98" t="s">
        <v>507</v>
      </c>
      <c r="C320" s="96" t="s">
        <v>1861</v>
      </c>
      <c r="D320" s="104" t="s">
        <v>1837</v>
      </c>
      <c r="E320" s="104" t="s">
        <v>14</v>
      </c>
      <c r="F320" s="51"/>
    </row>
    <row r="321" spans="1:6" ht="45" x14ac:dyDescent="0.2">
      <c r="A321" s="94" t="s">
        <v>7</v>
      </c>
      <c r="B321" s="98" t="s">
        <v>507</v>
      </c>
      <c r="C321" s="96" t="s">
        <v>524</v>
      </c>
      <c r="D321" s="104" t="s">
        <v>1837</v>
      </c>
      <c r="E321" s="104" t="s">
        <v>20</v>
      </c>
      <c r="F321" s="51"/>
    </row>
    <row r="322" spans="1:6" ht="57" x14ac:dyDescent="0.2">
      <c r="A322" s="94" t="s">
        <v>7</v>
      </c>
      <c r="B322" s="98" t="s">
        <v>507</v>
      </c>
      <c r="C322" s="96" t="s">
        <v>1862</v>
      </c>
      <c r="D322" s="104" t="s">
        <v>16</v>
      </c>
      <c r="E322" s="104" t="s">
        <v>17</v>
      </c>
      <c r="F322" s="51"/>
    </row>
    <row r="323" spans="1:6" ht="41.25" customHeight="1" x14ac:dyDescent="0.2">
      <c r="A323" s="94" t="s">
        <v>7</v>
      </c>
      <c r="B323" s="98" t="s">
        <v>541</v>
      </c>
      <c r="C323" s="122" t="s">
        <v>545</v>
      </c>
      <c r="D323" s="104" t="s">
        <v>1837</v>
      </c>
      <c r="E323" s="104" t="s">
        <v>1846</v>
      </c>
      <c r="F323" s="51"/>
    </row>
    <row r="324" spans="1:6" ht="30" x14ac:dyDescent="0.2">
      <c r="A324" s="94" t="s">
        <v>7</v>
      </c>
      <c r="B324" s="98" t="s">
        <v>541</v>
      </c>
      <c r="C324" s="122" t="s">
        <v>1863</v>
      </c>
      <c r="D324" s="104" t="s">
        <v>1837</v>
      </c>
      <c r="E324" s="104" t="s">
        <v>14</v>
      </c>
      <c r="F324" s="51"/>
    </row>
    <row r="325" spans="1:6" ht="30" x14ac:dyDescent="0.2">
      <c r="A325" s="94" t="s">
        <v>7</v>
      </c>
      <c r="B325" s="98" t="s">
        <v>541</v>
      </c>
      <c r="C325" s="122" t="s">
        <v>1864</v>
      </c>
      <c r="D325" s="104" t="s">
        <v>16</v>
      </c>
      <c r="E325" s="104" t="s">
        <v>144</v>
      </c>
      <c r="F325" s="51"/>
    </row>
    <row r="326" spans="1:6" ht="30" x14ac:dyDescent="0.2">
      <c r="A326" s="94" t="s">
        <v>7</v>
      </c>
      <c r="B326" s="98" t="s">
        <v>541</v>
      </c>
      <c r="C326" s="121" t="s">
        <v>1865</v>
      </c>
      <c r="D326" s="104" t="s">
        <v>11</v>
      </c>
      <c r="E326" s="104" t="s">
        <v>1841</v>
      </c>
      <c r="F326" s="51"/>
    </row>
    <row r="327" spans="1:6" ht="42" customHeight="1" x14ac:dyDescent="0.2">
      <c r="A327" s="94" t="s">
        <v>7</v>
      </c>
      <c r="B327" s="98" t="s">
        <v>541</v>
      </c>
      <c r="C327" s="122" t="s">
        <v>1866</v>
      </c>
      <c r="D327" s="104" t="s">
        <v>9</v>
      </c>
      <c r="E327" s="104" t="s">
        <v>18</v>
      </c>
      <c r="F327" s="51"/>
    </row>
    <row r="328" spans="1:6" ht="30" x14ac:dyDescent="0.2">
      <c r="A328" s="94" t="s">
        <v>7</v>
      </c>
      <c r="B328" s="98" t="s">
        <v>541</v>
      </c>
      <c r="C328" s="122" t="s">
        <v>546</v>
      </c>
      <c r="D328" s="104" t="s">
        <v>1837</v>
      </c>
      <c r="E328" s="104" t="s">
        <v>14</v>
      </c>
      <c r="F328" s="51"/>
    </row>
    <row r="329" spans="1:6" ht="30" x14ac:dyDescent="0.2">
      <c r="A329" s="94" t="s">
        <v>7</v>
      </c>
      <c r="B329" s="98" t="s">
        <v>541</v>
      </c>
      <c r="C329" s="122" t="s">
        <v>1867</v>
      </c>
      <c r="D329" s="104" t="s">
        <v>9</v>
      </c>
      <c r="E329" s="104" t="s">
        <v>33</v>
      </c>
      <c r="F329" s="51"/>
    </row>
    <row r="330" spans="1:6" ht="42.75" x14ac:dyDescent="0.2">
      <c r="A330" s="94" t="s">
        <v>7</v>
      </c>
      <c r="B330" s="98" t="s">
        <v>541</v>
      </c>
      <c r="C330" s="123" t="s">
        <v>547</v>
      </c>
      <c r="D330" s="104" t="s">
        <v>12</v>
      </c>
      <c r="E330" s="104" t="s">
        <v>40</v>
      </c>
      <c r="F330" s="51"/>
    </row>
    <row r="331" spans="1:6" ht="30" x14ac:dyDescent="0.2">
      <c r="A331" s="94" t="s">
        <v>7</v>
      </c>
      <c r="B331" s="98" t="s">
        <v>541</v>
      </c>
      <c r="C331" s="50" t="s">
        <v>1868</v>
      </c>
      <c r="D331" s="104" t="s">
        <v>1837</v>
      </c>
      <c r="E331" s="104" t="s">
        <v>70</v>
      </c>
      <c r="F331" s="51"/>
    </row>
    <row r="332" spans="1:6" ht="42.75" x14ac:dyDescent="0.2">
      <c r="A332" s="94" t="s">
        <v>7</v>
      </c>
      <c r="B332" s="98" t="s">
        <v>541</v>
      </c>
      <c r="C332" s="85" t="s">
        <v>542</v>
      </c>
      <c r="D332" s="104" t="s">
        <v>1837</v>
      </c>
      <c r="E332" s="104" t="s">
        <v>20</v>
      </c>
      <c r="F332" s="51"/>
    </row>
    <row r="333" spans="1:6" ht="30" x14ac:dyDescent="0.2">
      <c r="A333" s="94" t="s">
        <v>7</v>
      </c>
      <c r="B333" s="98" t="s">
        <v>541</v>
      </c>
      <c r="C333" s="85" t="s">
        <v>543</v>
      </c>
      <c r="D333" s="104" t="s">
        <v>11</v>
      </c>
      <c r="E333" s="104" t="s">
        <v>1841</v>
      </c>
      <c r="F333" s="51"/>
    </row>
    <row r="334" spans="1:6" ht="41.25" customHeight="1" x14ac:dyDescent="0.2">
      <c r="A334" s="94" t="s">
        <v>7</v>
      </c>
      <c r="B334" s="98" t="s">
        <v>541</v>
      </c>
      <c r="C334" s="85" t="s">
        <v>1869</v>
      </c>
      <c r="D334" s="104" t="s">
        <v>11</v>
      </c>
      <c r="E334" s="104" t="s">
        <v>1841</v>
      </c>
      <c r="F334" s="51"/>
    </row>
    <row r="335" spans="1:6" ht="30" x14ac:dyDescent="0.2">
      <c r="A335" s="94" t="s">
        <v>548</v>
      </c>
      <c r="B335" s="98" t="s">
        <v>8</v>
      </c>
      <c r="C335" s="50" t="s">
        <v>549</v>
      </c>
      <c r="D335" s="104" t="s">
        <v>1837</v>
      </c>
      <c r="E335" s="104" t="s">
        <v>56</v>
      </c>
      <c r="F335" s="51" t="e">
        <f>+VLOOKUP(C335,'[1]CRUCE RIESGOS'!$F$4:$G$281,2,FALSE)</f>
        <v>#N/A</v>
      </c>
    </row>
    <row r="336" spans="1:6" ht="30" x14ac:dyDescent="0.2">
      <c r="A336" s="94" t="s">
        <v>548</v>
      </c>
      <c r="B336" s="98" t="s">
        <v>8</v>
      </c>
      <c r="C336" s="50" t="s">
        <v>550</v>
      </c>
      <c r="D336" s="104" t="s">
        <v>1837</v>
      </c>
      <c r="E336" s="104" t="s">
        <v>52</v>
      </c>
      <c r="F336" s="51" t="e">
        <f>+VLOOKUP(C336,'[1]CRUCE RIESGOS'!$F$4:$G$281,2,FALSE)</f>
        <v>#N/A</v>
      </c>
    </row>
    <row r="337" spans="1:6" ht="42.75" x14ac:dyDescent="0.2">
      <c r="A337" s="94" t="s">
        <v>548</v>
      </c>
      <c r="B337" s="98" t="s">
        <v>8</v>
      </c>
      <c r="C337" s="50" t="s">
        <v>551</v>
      </c>
      <c r="D337" s="104" t="s">
        <v>12</v>
      </c>
      <c r="E337" s="104" t="s">
        <v>32</v>
      </c>
      <c r="F337" s="51" t="e">
        <f>+VLOOKUP(C337,'[1]CRUCE RIESGOS'!$F$4:$G$281,2,FALSE)</f>
        <v>#N/A</v>
      </c>
    </row>
    <row r="338" spans="1:6" ht="42.75" x14ac:dyDescent="0.2">
      <c r="A338" s="94" t="s">
        <v>548</v>
      </c>
      <c r="B338" s="98" t="s">
        <v>8</v>
      </c>
      <c r="C338" s="50" t="s">
        <v>552</v>
      </c>
      <c r="D338" s="104" t="s">
        <v>12</v>
      </c>
      <c r="E338" s="104" t="s">
        <v>32</v>
      </c>
      <c r="F338" s="51" t="e">
        <f>+VLOOKUP(C338,'[1]CRUCE RIESGOS'!$F$4:$G$281,2,FALSE)</f>
        <v>#N/A</v>
      </c>
    </row>
    <row r="339" spans="1:6" ht="30" x14ac:dyDescent="0.2">
      <c r="A339" s="94" t="s">
        <v>548</v>
      </c>
      <c r="B339" s="98" t="s">
        <v>8</v>
      </c>
      <c r="C339" s="50" t="s">
        <v>1870</v>
      </c>
      <c r="D339" s="104" t="s">
        <v>11</v>
      </c>
      <c r="E339" s="104" t="s">
        <v>1841</v>
      </c>
      <c r="F339" s="51" t="e">
        <f>+VLOOKUP(C339,'[1]CRUCE RIESGOS'!$F$4:$G$281,2,FALSE)</f>
        <v>#N/A</v>
      </c>
    </row>
    <row r="340" spans="1:6" ht="42.75" x14ac:dyDescent="0.2">
      <c r="A340" s="94" t="s">
        <v>548</v>
      </c>
      <c r="B340" s="98" t="s">
        <v>8</v>
      </c>
      <c r="C340" s="50" t="s">
        <v>554</v>
      </c>
      <c r="D340" s="104" t="s">
        <v>16</v>
      </c>
      <c r="E340" s="104" t="s">
        <v>144</v>
      </c>
      <c r="F340" s="51" t="e">
        <f>+VLOOKUP(C340,'[1]CRUCE RIESGOS'!$F$4:$G$281,2,FALSE)</f>
        <v>#N/A</v>
      </c>
    </row>
    <row r="341" spans="1:6" ht="30" x14ac:dyDescent="0.2">
      <c r="A341" s="94" t="s">
        <v>548</v>
      </c>
      <c r="B341" s="98" t="s">
        <v>8</v>
      </c>
      <c r="C341" s="50" t="s">
        <v>1871</v>
      </c>
      <c r="D341" s="104" t="s">
        <v>9</v>
      </c>
      <c r="E341" s="104" t="s">
        <v>33</v>
      </c>
      <c r="F341" s="51" t="e">
        <f>+VLOOKUP(C341,'[1]CRUCE RIESGOS'!$F$4:$G$281,2,FALSE)</f>
        <v>#N/A</v>
      </c>
    </row>
    <row r="342" spans="1:6" ht="42.75" x14ac:dyDescent="0.2">
      <c r="A342" s="94" t="s">
        <v>548</v>
      </c>
      <c r="B342" s="98" t="s">
        <v>8</v>
      </c>
      <c r="C342" s="50" t="s">
        <v>1872</v>
      </c>
      <c r="D342" s="104" t="s">
        <v>1837</v>
      </c>
      <c r="E342" s="104" t="s">
        <v>71</v>
      </c>
      <c r="F342" s="51" t="e">
        <f>+VLOOKUP(C342,'[1]CRUCE RIESGOS'!$F$4:$G$281,2,FALSE)</f>
        <v>#N/A</v>
      </c>
    </row>
    <row r="343" spans="1:6" ht="42.75" x14ac:dyDescent="0.2">
      <c r="A343" s="94" t="s">
        <v>548</v>
      </c>
      <c r="B343" s="98" t="s">
        <v>8</v>
      </c>
      <c r="C343" s="50" t="s">
        <v>1873</v>
      </c>
      <c r="D343" s="104" t="s">
        <v>11</v>
      </c>
      <c r="E343" s="104" t="s">
        <v>142</v>
      </c>
      <c r="F343" s="51" t="e">
        <f>+VLOOKUP(C343,'[1]CRUCE RIESGOS'!$F$4:$G$281,2,FALSE)</f>
        <v>#N/A</v>
      </c>
    </row>
    <row r="344" spans="1:6" ht="42.75" x14ac:dyDescent="0.2">
      <c r="A344" s="94" t="s">
        <v>548</v>
      </c>
      <c r="B344" s="98" t="s">
        <v>34</v>
      </c>
      <c r="C344" s="50" t="s">
        <v>559</v>
      </c>
      <c r="D344" s="104" t="s">
        <v>12</v>
      </c>
      <c r="E344" s="104" t="s">
        <v>32</v>
      </c>
      <c r="F344" s="51" t="e">
        <f>+VLOOKUP(C344,'[1]CRUCE RIESGOS'!$F$4:$G$281,2,FALSE)</f>
        <v>#N/A</v>
      </c>
    </row>
    <row r="345" spans="1:6" ht="42.75" x14ac:dyDescent="0.2">
      <c r="A345" s="94" t="s">
        <v>548</v>
      </c>
      <c r="B345" s="98" t="s">
        <v>34</v>
      </c>
      <c r="C345" s="50" t="s">
        <v>562</v>
      </c>
      <c r="D345" s="104" t="s">
        <v>1837</v>
      </c>
      <c r="E345" s="104" t="s">
        <v>563</v>
      </c>
      <c r="F345" s="51" t="e">
        <f>+VLOOKUP(C345,'[1]CRUCE RIESGOS'!$F$4:$G$281,2,FALSE)</f>
        <v>#N/A</v>
      </c>
    </row>
    <row r="346" spans="1:6" ht="30" x14ac:dyDescent="0.2">
      <c r="A346" s="94" t="s">
        <v>548</v>
      </c>
      <c r="B346" s="98" t="s">
        <v>34</v>
      </c>
      <c r="C346" s="50" t="s">
        <v>564</v>
      </c>
      <c r="D346" s="104" t="s">
        <v>1837</v>
      </c>
      <c r="E346" s="104" t="s">
        <v>563</v>
      </c>
      <c r="F346" s="51" t="e">
        <f>+VLOOKUP(C346,'[1]CRUCE RIESGOS'!$F$4:$G$281,2,FALSE)</f>
        <v>#N/A</v>
      </c>
    </row>
    <row r="347" spans="1:6" ht="57" x14ac:dyDescent="0.2">
      <c r="A347" s="94" t="s">
        <v>548</v>
      </c>
      <c r="B347" s="98" t="s">
        <v>34</v>
      </c>
      <c r="C347" s="50" t="s">
        <v>565</v>
      </c>
      <c r="D347" s="104" t="s">
        <v>12</v>
      </c>
      <c r="E347" s="104" t="s">
        <v>32</v>
      </c>
      <c r="F347" s="51" t="e">
        <f>+VLOOKUP(C347,'[1]CRUCE RIESGOS'!$F$4:$G$281,2,FALSE)</f>
        <v>#N/A</v>
      </c>
    </row>
    <row r="348" spans="1:6" ht="52.5" customHeight="1" x14ac:dyDescent="0.2">
      <c r="A348" s="94" t="s">
        <v>548</v>
      </c>
      <c r="B348" s="98" t="s">
        <v>34</v>
      </c>
      <c r="C348" s="50" t="s">
        <v>566</v>
      </c>
      <c r="D348" s="104" t="s">
        <v>1837</v>
      </c>
      <c r="E348" s="104" t="s">
        <v>71</v>
      </c>
      <c r="F348" s="51" t="e">
        <f>+VLOOKUP(C348,'[1]CRUCE RIESGOS'!$F$4:$G$281,2,FALSE)</f>
        <v>#N/A</v>
      </c>
    </row>
    <row r="349" spans="1:6" ht="30" x14ac:dyDescent="0.2">
      <c r="A349" s="94" t="s">
        <v>548</v>
      </c>
      <c r="B349" s="98" t="s">
        <v>34</v>
      </c>
      <c r="C349" s="50" t="s">
        <v>567</v>
      </c>
      <c r="D349" s="104" t="s">
        <v>11</v>
      </c>
      <c r="E349" s="104" t="s">
        <v>172</v>
      </c>
      <c r="F349" s="51" t="e">
        <f>+VLOOKUP(C349,'[1]CRUCE RIESGOS'!$F$4:$G$281,2,FALSE)</f>
        <v>#N/A</v>
      </c>
    </row>
    <row r="350" spans="1:6" ht="42.75" x14ac:dyDescent="0.2">
      <c r="A350" s="94" t="s">
        <v>548</v>
      </c>
      <c r="B350" s="98" t="s">
        <v>34</v>
      </c>
      <c r="C350" s="50" t="s">
        <v>568</v>
      </c>
      <c r="D350" s="104" t="s">
        <v>12</v>
      </c>
      <c r="E350" s="104" t="s">
        <v>13</v>
      </c>
      <c r="F350" s="51" t="e">
        <f>+VLOOKUP(C350,'[1]CRUCE RIESGOS'!$F$4:$G$281,2,FALSE)</f>
        <v>#N/A</v>
      </c>
    </row>
    <row r="351" spans="1:6" ht="30" x14ac:dyDescent="0.2">
      <c r="A351" s="94" t="s">
        <v>548</v>
      </c>
      <c r="B351" s="98" t="s">
        <v>34</v>
      </c>
      <c r="C351" s="50" t="s">
        <v>569</v>
      </c>
      <c r="D351" s="104" t="s">
        <v>11</v>
      </c>
      <c r="E351" s="104" t="s">
        <v>1639</v>
      </c>
      <c r="F351" s="51"/>
    </row>
    <row r="352" spans="1:6" ht="45" x14ac:dyDescent="0.2">
      <c r="A352" s="94" t="s">
        <v>548</v>
      </c>
      <c r="B352" s="98" t="s">
        <v>61</v>
      </c>
      <c r="C352" s="50" t="s">
        <v>570</v>
      </c>
      <c r="D352" s="104" t="s">
        <v>9</v>
      </c>
      <c r="E352" s="104" t="s">
        <v>10</v>
      </c>
      <c r="F352" s="51" t="e">
        <f>+VLOOKUP(C352,'[1]CRUCE RIESGOS'!$F$4:$G$281,2,FALSE)</f>
        <v>#N/A</v>
      </c>
    </row>
    <row r="353" spans="1:6" ht="45" x14ac:dyDescent="0.2">
      <c r="A353" s="94" t="s">
        <v>548</v>
      </c>
      <c r="B353" s="98" t="s">
        <v>61</v>
      </c>
      <c r="C353" s="50" t="s">
        <v>581</v>
      </c>
      <c r="D353" s="104" t="s">
        <v>1837</v>
      </c>
      <c r="E353" s="104" t="s">
        <v>138</v>
      </c>
      <c r="F353" s="51" t="e">
        <f>+VLOOKUP(C353,'[1]CRUCE RIESGOS'!$F$4:$G$281,2,FALSE)</f>
        <v>#N/A</v>
      </c>
    </row>
    <row r="354" spans="1:6" ht="45" x14ac:dyDescent="0.2">
      <c r="A354" s="94" t="s">
        <v>548</v>
      </c>
      <c r="B354" s="98" t="s">
        <v>61</v>
      </c>
      <c r="C354" s="50" t="s">
        <v>592</v>
      </c>
      <c r="D354" s="104" t="s">
        <v>11</v>
      </c>
      <c r="E354" s="104" t="s">
        <v>1639</v>
      </c>
      <c r="F354" s="51" t="e">
        <f>+VLOOKUP(C354,'[1]CRUCE RIESGOS'!$F$4:$G$281,2,FALSE)</f>
        <v>#N/A</v>
      </c>
    </row>
    <row r="355" spans="1:6" ht="45" x14ac:dyDescent="0.2">
      <c r="A355" s="94" t="s">
        <v>548</v>
      </c>
      <c r="B355" s="98" t="s">
        <v>61</v>
      </c>
      <c r="C355" s="50" t="s">
        <v>593</v>
      </c>
      <c r="D355" s="104" t="s">
        <v>11</v>
      </c>
      <c r="E355" s="104" t="s">
        <v>1841</v>
      </c>
      <c r="F355" s="51" t="e">
        <f>+VLOOKUP(C355,'[1]CRUCE RIESGOS'!$F$4:$G$281,2,FALSE)</f>
        <v>#N/A</v>
      </c>
    </row>
    <row r="356" spans="1:6" ht="45" x14ac:dyDescent="0.2">
      <c r="A356" s="94" t="s">
        <v>548</v>
      </c>
      <c r="B356" s="98" t="s">
        <v>61</v>
      </c>
      <c r="C356" s="50" t="s">
        <v>594</v>
      </c>
      <c r="D356" s="104" t="s">
        <v>59</v>
      </c>
      <c r="E356" s="104" t="s">
        <v>293</v>
      </c>
      <c r="F356" s="51" t="e">
        <f>+VLOOKUP(C356,'[1]CRUCE RIESGOS'!$F$4:$G$281,2,FALSE)</f>
        <v>#N/A</v>
      </c>
    </row>
    <row r="357" spans="1:6" ht="45" x14ac:dyDescent="0.2">
      <c r="A357" s="94" t="s">
        <v>548</v>
      </c>
      <c r="B357" s="98" t="s">
        <v>61</v>
      </c>
      <c r="C357" s="50" t="s">
        <v>595</v>
      </c>
      <c r="D357" s="104" t="s">
        <v>11</v>
      </c>
      <c r="E357" s="104" t="s">
        <v>45</v>
      </c>
      <c r="F357" s="51" t="e">
        <f>+VLOOKUP(C357,'[1]CRUCE RIESGOS'!$F$4:$G$281,2,FALSE)</f>
        <v>#N/A</v>
      </c>
    </row>
    <row r="358" spans="1:6" ht="45" x14ac:dyDescent="0.2">
      <c r="A358" s="94" t="s">
        <v>548</v>
      </c>
      <c r="B358" s="98" t="s">
        <v>61</v>
      </c>
      <c r="C358" s="50" t="s">
        <v>596</v>
      </c>
      <c r="D358" s="104" t="s">
        <v>16</v>
      </c>
      <c r="E358" s="104" t="s">
        <v>17</v>
      </c>
      <c r="F358" s="51" t="e">
        <f>+VLOOKUP(C358,'[1]CRUCE RIESGOS'!$F$4:$G$281,2,FALSE)</f>
        <v>#N/A</v>
      </c>
    </row>
    <row r="359" spans="1:6" ht="45" x14ac:dyDescent="0.2">
      <c r="A359" s="94" t="s">
        <v>548</v>
      </c>
      <c r="B359" s="98" t="s">
        <v>61</v>
      </c>
      <c r="C359" s="50" t="s">
        <v>597</v>
      </c>
      <c r="D359" s="104" t="s">
        <v>9</v>
      </c>
      <c r="E359" s="104" t="s">
        <v>15</v>
      </c>
      <c r="F359" s="51" t="e">
        <f>+VLOOKUP(C359,'[1]CRUCE RIESGOS'!$F$4:$G$281,2,FALSE)</f>
        <v>#N/A</v>
      </c>
    </row>
    <row r="360" spans="1:6" ht="45" x14ac:dyDescent="0.2">
      <c r="A360" s="94" t="s">
        <v>548</v>
      </c>
      <c r="B360" s="98" t="s">
        <v>61</v>
      </c>
      <c r="C360" s="50" t="s">
        <v>598</v>
      </c>
      <c r="D360" s="104" t="s">
        <v>12</v>
      </c>
      <c r="E360" s="104" t="s">
        <v>13</v>
      </c>
      <c r="F360" s="51" t="e">
        <f>+VLOOKUP(C360,'[1]CRUCE RIESGOS'!$F$4:$G$281,2,FALSE)</f>
        <v>#N/A</v>
      </c>
    </row>
    <row r="361" spans="1:6" ht="45" x14ac:dyDescent="0.2">
      <c r="A361" s="94" t="s">
        <v>548</v>
      </c>
      <c r="B361" s="98" t="s">
        <v>61</v>
      </c>
      <c r="C361" s="50" t="s">
        <v>571</v>
      </c>
      <c r="D361" s="104" t="s">
        <v>1837</v>
      </c>
      <c r="E361" s="104" t="s">
        <v>1846</v>
      </c>
      <c r="F361" s="51" t="e">
        <f>+VLOOKUP(C361,'[1]CRUCE RIESGOS'!$F$4:$G$281,2,FALSE)</f>
        <v>#N/A</v>
      </c>
    </row>
    <row r="362" spans="1:6" ht="45" x14ac:dyDescent="0.2">
      <c r="A362" s="94" t="s">
        <v>548</v>
      </c>
      <c r="B362" s="98" t="s">
        <v>61</v>
      </c>
      <c r="C362" s="50" t="s">
        <v>572</v>
      </c>
      <c r="D362" s="104" t="s">
        <v>1837</v>
      </c>
      <c r="E362" s="104" t="s">
        <v>138</v>
      </c>
      <c r="F362" s="51" t="e">
        <f>+VLOOKUP(C362,'[1]CRUCE RIESGOS'!$F$4:$G$281,2,FALSE)</f>
        <v>#N/A</v>
      </c>
    </row>
    <row r="363" spans="1:6" ht="45" x14ac:dyDescent="0.2">
      <c r="A363" s="94" t="s">
        <v>548</v>
      </c>
      <c r="B363" s="98" t="s">
        <v>61</v>
      </c>
      <c r="C363" s="50" t="s">
        <v>573</v>
      </c>
      <c r="D363" s="104" t="s">
        <v>1837</v>
      </c>
      <c r="E363" s="104" t="s">
        <v>1846</v>
      </c>
      <c r="F363" s="51" t="e">
        <f>+VLOOKUP(C363,'[1]CRUCE RIESGOS'!$F$4:$G$281,2,FALSE)</f>
        <v>#N/A</v>
      </c>
    </row>
    <row r="364" spans="1:6" ht="45" x14ac:dyDescent="0.2">
      <c r="A364" s="94" t="s">
        <v>548</v>
      </c>
      <c r="B364" s="98" t="s">
        <v>61</v>
      </c>
      <c r="C364" s="50" t="s">
        <v>574</v>
      </c>
      <c r="D364" s="104" t="s">
        <v>1837</v>
      </c>
      <c r="E364" s="104" t="s">
        <v>52</v>
      </c>
      <c r="F364" s="51" t="e">
        <f>+VLOOKUP(C364,'[1]CRUCE RIESGOS'!$F$4:$G$281,2,FALSE)</f>
        <v>#N/A</v>
      </c>
    </row>
    <row r="365" spans="1:6" ht="45" x14ac:dyDescent="0.2">
      <c r="A365" s="94" t="s">
        <v>548</v>
      </c>
      <c r="B365" s="98" t="s">
        <v>61</v>
      </c>
      <c r="C365" s="85" t="s">
        <v>575</v>
      </c>
      <c r="D365" s="104" t="s">
        <v>11</v>
      </c>
      <c r="E365" s="104" t="s">
        <v>1841</v>
      </c>
      <c r="F365" s="51" t="e">
        <f>+VLOOKUP(C365,'[1]CRUCE RIESGOS'!$F$4:$G$281,2,FALSE)</f>
        <v>#N/A</v>
      </c>
    </row>
    <row r="366" spans="1:6" ht="45" x14ac:dyDescent="0.2">
      <c r="A366" s="94" t="s">
        <v>548</v>
      </c>
      <c r="B366" s="98" t="s">
        <v>61</v>
      </c>
      <c r="C366" s="50" t="s">
        <v>576</v>
      </c>
      <c r="D366" s="104" t="s">
        <v>1837</v>
      </c>
      <c r="E366" s="104" t="s">
        <v>70</v>
      </c>
      <c r="F366" s="51" t="e">
        <f>+VLOOKUP(C366,'[1]CRUCE RIESGOS'!$F$4:$G$281,2,FALSE)</f>
        <v>#N/A</v>
      </c>
    </row>
    <row r="367" spans="1:6" ht="45" x14ac:dyDescent="0.2">
      <c r="A367" s="94" t="s">
        <v>548</v>
      </c>
      <c r="B367" s="98" t="s">
        <v>61</v>
      </c>
      <c r="C367" s="85" t="s">
        <v>577</v>
      </c>
      <c r="D367" s="104" t="s">
        <v>16</v>
      </c>
      <c r="E367" s="104" t="s">
        <v>144</v>
      </c>
      <c r="F367" s="51" t="e">
        <f>+VLOOKUP(C367,'[1]CRUCE RIESGOS'!$F$4:$G$281,2,FALSE)</f>
        <v>#N/A</v>
      </c>
    </row>
    <row r="368" spans="1:6" ht="45" x14ac:dyDescent="0.2">
      <c r="A368" s="94" t="s">
        <v>548</v>
      </c>
      <c r="B368" s="98" t="s">
        <v>61</v>
      </c>
      <c r="C368" s="50" t="s">
        <v>578</v>
      </c>
      <c r="D368" s="104" t="s">
        <v>9</v>
      </c>
      <c r="E368" s="104" t="s">
        <v>145</v>
      </c>
      <c r="F368" s="51" t="e">
        <f>+VLOOKUP(C368,'[1]CRUCE RIESGOS'!$F$4:$G$281,2,FALSE)</f>
        <v>#N/A</v>
      </c>
    </row>
    <row r="369" spans="1:6" ht="45" x14ac:dyDescent="0.2">
      <c r="A369" s="94" t="s">
        <v>548</v>
      </c>
      <c r="B369" s="98" t="s">
        <v>61</v>
      </c>
      <c r="C369" s="50" t="s">
        <v>579</v>
      </c>
      <c r="D369" s="104" t="s">
        <v>1837</v>
      </c>
      <c r="E369" s="104" t="s">
        <v>71</v>
      </c>
      <c r="F369" s="51" t="e">
        <f>+VLOOKUP(C369,'[1]CRUCE RIESGOS'!$F$4:$G$281,2,FALSE)</f>
        <v>#N/A</v>
      </c>
    </row>
    <row r="370" spans="1:6" ht="45" x14ac:dyDescent="0.2">
      <c r="A370" s="94" t="s">
        <v>548</v>
      </c>
      <c r="B370" s="98" t="s">
        <v>61</v>
      </c>
      <c r="C370" s="85" t="s">
        <v>580</v>
      </c>
      <c r="D370" s="104" t="s">
        <v>9</v>
      </c>
      <c r="E370" s="104" t="s">
        <v>10</v>
      </c>
      <c r="F370" s="51" t="e">
        <f>+VLOOKUP(C370,'[1]CRUCE RIESGOS'!$F$4:$G$281,2,FALSE)</f>
        <v>#N/A</v>
      </c>
    </row>
    <row r="371" spans="1:6" ht="45" x14ac:dyDescent="0.2">
      <c r="A371" s="94" t="s">
        <v>548</v>
      </c>
      <c r="B371" s="98" t="s">
        <v>61</v>
      </c>
      <c r="C371" s="85" t="s">
        <v>582</v>
      </c>
      <c r="D371" s="104" t="s">
        <v>12</v>
      </c>
      <c r="E371" s="104" t="s">
        <v>32</v>
      </c>
      <c r="F371" s="51" t="e">
        <f>+VLOOKUP(C371,'[1]CRUCE RIESGOS'!$F$4:$G$281,2,FALSE)</f>
        <v>#N/A</v>
      </c>
    </row>
    <row r="372" spans="1:6" ht="45" x14ac:dyDescent="0.2">
      <c r="A372" s="94" t="s">
        <v>548</v>
      </c>
      <c r="B372" s="98" t="s">
        <v>61</v>
      </c>
      <c r="C372" s="85" t="s">
        <v>583</v>
      </c>
      <c r="D372" s="104" t="s">
        <v>9</v>
      </c>
      <c r="E372" s="104" t="s">
        <v>145</v>
      </c>
      <c r="F372" s="51" t="e">
        <f>+VLOOKUP(C372,'[1]CRUCE RIESGOS'!$F$4:$G$281,2,FALSE)</f>
        <v>#N/A</v>
      </c>
    </row>
    <row r="373" spans="1:6" ht="45" x14ac:dyDescent="0.2">
      <c r="A373" s="94" t="s">
        <v>548</v>
      </c>
      <c r="B373" s="98" t="s">
        <v>61</v>
      </c>
      <c r="C373" s="85" t="s">
        <v>584</v>
      </c>
      <c r="D373" s="104" t="s">
        <v>9</v>
      </c>
      <c r="E373" s="104" t="s">
        <v>33</v>
      </c>
      <c r="F373" s="51" t="e">
        <f>+VLOOKUP(C373,'[1]CRUCE RIESGOS'!$F$4:$G$281,2,FALSE)</f>
        <v>#N/A</v>
      </c>
    </row>
    <row r="374" spans="1:6" ht="45" x14ac:dyDescent="0.2">
      <c r="A374" s="94" t="s">
        <v>548</v>
      </c>
      <c r="B374" s="98" t="s">
        <v>61</v>
      </c>
      <c r="C374" s="85" t="s">
        <v>585</v>
      </c>
      <c r="D374" s="104" t="s">
        <v>9</v>
      </c>
      <c r="E374" s="104" t="s">
        <v>173</v>
      </c>
      <c r="F374" s="51" t="e">
        <f>+VLOOKUP(C374,'[1]CRUCE RIESGOS'!$F$4:$G$281,2,FALSE)</f>
        <v>#N/A</v>
      </c>
    </row>
    <row r="375" spans="1:6" ht="45" x14ac:dyDescent="0.2">
      <c r="A375" s="94" t="s">
        <v>548</v>
      </c>
      <c r="B375" s="98" t="s">
        <v>61</v>
      </c>
      <c r="C375" s="85" t="s">
        <v>586</v>
      </c>
      <c r="D375" s="104" t="s">
        <v>9</v>
      </c>
      <c r="E375" s="104" t="s">
        <v>18</v>
      </c>
      <c r="F375" s="51" t="e">
        <f>+VLOOKUP(C375,'[1]CRUCE RIESGOS'!$F$4:$G$281,2,FALSE)</f>
        <v>#N/A</v>
      </c>
    </row>
    <row r="376" spans="1:6" ht="45" x14ac:dyDescent="0.2">
      <c r="A376" s="94" t="s">
        <v>548</v>
      </c>
      <c r="B376" s="98" t="s">
        <v>61</v>
      </c>
      <c r="C376" s="85" t="s">
        <v>587</v>
      </c>
      <c r="D376" s="104" t="s">
        <v>42</v>
      </c>
      <c r="E376" s="104" t="s">
        <v>43</v>
      </c>
      <c r="F376" s="51" t="e">
        <f>+VLOOKUP(C376,'[1]CRUCE RIESGOS'!$F$4:$G$281,2,FALSE)</f>
        <v>#N/A</v>
      </c>
    </row>
    <row r="377" spans="1:6" ht="45" x14ac:dyDescent="0.2">
      <c r="A377" s="94" t="s">
        <v>548</v>
      </c>
      <c r="B377" s="98" t="s">
        <v>61</v>
      </c>
      <c r="C377" s="85" t="s">
        <v>588</v>
      </c>
      <c r="D377" s="104" t="s">
        <v>9</v>
      </c>
      <c r="E377" s="104" t="s">
        <v>26</v>
      </c>
      <c r="F377" s="51" t="e">
        <f>+VLOOKUP(C377,'[1]CRUCE RIESGOS'!$F$4:$G$281,2,FALSE)</f>
        <v>#N/A</v>
      </c>
    </row>
    <row r="378" spans="1:6" ht="45" x14ac:dyDescent="0.2">
      <c r="A378" s="94" t="s">
        <v>548</v>
      </c>
      <c r="B378" s="98" t="s">
        <v>61</v>
      </c>
      <c r="C378" s="85" t="s">
        <v>589</v>
      </c>
      <c r="D378" s="104" t="s">
        <v>1837</v>
      </c>
      <c r="E378" s="104" t="s">
        <v>71</v>
      </c>
      <c r="F378" s="51" t="e">
        <f>+VLOOKUP(C378,'[1]CRUCE RIESGOS'!$F$4:$G$281,2,FALSE)</f>
        <v>#N/A</v>
      </c>
    </row>
    <row r="379" spans="1:6" ht="45" x14ac:dyDescent="0.2">
      <c r="A379" s="94" t="s">
        <v>548</v>
      </c>
      <c r="B379" s="120" t="s">
        <v>61</v>
      </c>
      <c r="C379" s="50" t="s">
        <v>590</v>
      </c>
      <c r="D379" s="104" t="s">
        <v>1837</v>
      </c>
      <c r="E379" s="104" t="s">
        <v>138</v>
      </c>
      <c r="F379" s="51" t="e">
        <f>+VLOOKUP(C379,'[1]CRUCE RIESGOS'!$F$4:$G$281,2,FALSE)</f>
        <v>#N/A</v>
      </c>
    </row>
    <row r="380" spans="1:6" ht="45" x14ac:dyDescent="0.2">
      <c r="A380" s="94" t="s">
        <v>548</v>
      </c>
      <c r="B380" s="120" t="s">
        <v>61</v>
      </c>
      <c r="C380" s="50" t="s">
        <v>591</v>
      </c>
      <c r="D380" s="104" t="s">
        <v>11</v>
      </c>
      <c r="E380" s="104" t="s">
        <v>1841</v>
      </c>
      <c r="F380" s="51" t="e">
        <f>+VLOOKUP(C380,'[1]CRUCE RIESGOS'!$F$4:$G$281,2,FALSE)</f>
        <v>#N/A</v>
      </c>
    </row>
    <row r="381" spans="1:6" ht="30" x14ac:dyDescent="0.2">
      <c r="A381" s="94" t="s">
        <v>548</v>
      </c>
      <c r="B381" s="98" t="s">
        <v>69</v>
      </c>
      <c r="C381" s="85" t="s">
        <v>613</v>
      </c>
      <c r="D381" s="104" t="s">
        <v>1837</v>
      </c>
      <c r="E381" s="104" t="s">
        <v>70</v>
      </c>
      <c r="F381" s="51" t="e">
        <f>+VLOOKUP(C381,'[1]CRUCE RIESGOS'!$F$4:$G$281,2,FALSE)</f>
        <v>#N/A</v>
      </c>
    </row>
    <row r="382" spans="1:6" ht="42.75" x14ac:dyDescent="0.2">
      <c r="A382" s="94" t="s">
        <v>548</v>
      </c>
      <c r="B382" s="98" t="s">
        <v>69</v>
      </c>
      <c r="C382" s="85" t="s">
        <v>614</v>
      </c>
      <c r="D382" s="104" t="s">
        <v>12</v>
      </c>
      <c r="E382" s="104" t="s">
        <v>32</v>
      </c>
      <c r="F382" s="51" t="e">
        <f>+VLOOKUP(C382,'[1]CRUCE RIESGOS'!$F$4:$G$281,2,FALSE)</f>
        <v>#N/A</v>
      </c>
    </row>
    <row r="383" spans="1:6" ht="30" x14ac:dyDescent="0.2">
      <c r="A383" s="94" t="s">
        <v>548</v>
      </c>
      <c r="B383" s="98" t="s">
        <v>69</v>
      </c>
      <c r="C383" s="85" t="s">
        <v>615</v>
      </c>
      <c r="D383" s="104" t="s">
        <v>9</v>
      </c>
      <c r="E383" s="104" t="s">
        <v>145</v>
      </c>
      <c r="F383" s="51" t="e">
        <f>+VLOOKUP(C383,'[1]CRUCE RIESGOS'!$F$4:$G$281,2,FALSE)</f>
        <v>#N/A</v>
      </c>
    </row>
    <row r="384" spans="1:6" ht="30" x14ac:dyDescent="0.2">
      <c r="A384" s="94" t="s">
        <v>548</v>
      </c>
      <c r="B384" s="98" t="s">
        <v>69</v>
      </c>
      <c r="C384" s="50" t="s">
        <v>616</v>
      </c>
      <c r="D384" s="104" t="s">
        <v>59</v>
      </c>
      <c r="E384" s="104" t="s">
        <v>293</v>
      </c>
      <c r="F384" s="51" t="e">
        <f>+VLOOKUP(C384,'[1]CRUCE RIESGOS'!$F$4:$G$281,2,FALSE)</f>
        <v>#N/A</v>
      </c>
    </row>
    <row r="385" spans="1:6" ht="30" x14ac:dyDescent="0.2">
      <c r="A385" s="94" t="s">
        <v>548</v>
      </c>
      <c r="B385" s="98" t="s">
        <v>69</v>
      </c>
      <c r="C385" s="85" t="s">
        <v>623</v>
      </c>
      <c r="D385" s="104" t="s">
        <v>9</v>
      </c>
      <c r="E385" s="104" t="s">
        <v>18</v>
      </c>
      <c r="F385" s="51" t="e">
        <f>+VLOOKUP(C385,'[1]CRUCE RIESGOS'!$F$4:$G$281,2,FALSE)</f>
        <v>#N/A</v>
      </c>
    </row>
    <row r="386" spans="1:6" ht="30" x14ac:dyDescent="0.2">
      <c r="A386" s="94" t="s">
        <v>548</v>
      </c>
      <c r="B386" s="98" t="s">
        <v>69</v>
      </c>
      <c r="C386" s="50" t="s">
        <v>1874</v>
      </c>
      <c r="D386" s="104" t="s">
        <v>9</v>
      </c>
      <c r="E386" s="104" t="s">
        <v>1875</v>
      </c>
      <c r="F386" s="51" t="e">
        <f>+VLOOKUP(C386,'[1]CRUCE RIESGOS'!$F$4:$G$281,2,FALSE)</f>
        <v>#N/A</v>
      </c>
    </row>
    <row r="387" spans="1:6" ht="42.75" x14ac:dyDescent="0.2">
      <c r="A387" s="94" t="s">
        <v>548</v>
      </c>
      <c r="B387" s="98" t="s">
        <v>69</v>
      </c>
      <c r="C387" s="50" t="s">
        <v>1876</v>
      </c>
      <c r="D387" s="104" t="s">
        <v>12</v>
      </c>
      <c r="E387" s="104" t="s">
        <v>714</v>
      </c>
      <c r="F387" s="51" t="e">
        <f>+VLOOKUP(C387,'[1]CRUCE RIESGOS'!$F$4:$G$281,2,FALSE)</f>
        <v>#N/A</v>
      </c>
    </row>
    <row r="388" spans="1:6" ht="30" x14ac:dyDescent="0.2">
      <c r="A388" s="94" t="s">
        <v>548</v>
      </c>
      <c r="B388" s="98" t="s">
        <v>69</v>
      </c>
      <c r="C388" s="50" t="s">
        <v>1877</v>
      </c>
      <c r="D388" s="104" t="s">
        <v>1837</v>
      </c>
      <c r="E388" s="104" t="s">
        <v>52</v>
      </c>
      <c r="F388" s="51" t="e">
        <f>+VLOOKUP(C388,'[1]CRUCE RIESGOS'!$F$4:$G$281,2,FALSE)</f>
        <v>#N/A</v>
      </c>
    </row>
    <row r="389" spans="1:6" ht="30" x14ac:dyDescent="0.2">
      <c r="A389" s="94" t="s">
        <v>548</v>
      </c>
      <c r="B389" s="98" t="s">
        <v>69</v>
      </c>
      <c r="C389" s="85" t="s">
        <v>1878</v>
      </c>
      <c r="D389" s="104" t="s">
        <v>1837</v>
      </c>
      <c r="E389" s="104" t="s">
        <v>138</v>
      </c>
      <c r="F389" s="51" t="e">
        <f>+VLOOKUP(C389,'[1]CRUCE RIESGOS'!$F$4:$G$281,2,FALSE)</f>
        <v>#N/A</v>
      </c>
    </row>
    <row r="390" spans="1:6" ht="30" x14ac:dyDescent="0.2">
      <c r="A390" s="94" t="s">
        <v>548</v>
      </c>
      <c r="B390" s="98" t="s">
        <v>69</v>
      </c>
      <c r="C390" s="85" t="s">
        <v>1879</v>
      </c>
      <c r="D390" s="104" t="s">
        <v>1837</v>
      </c>
      <c r="E390" s="104" t="s">
        <v>70</v>
      </c>
      <c r="F390" s="51" t="e">
        <f>+VLOOKUP(C390,'[1]CRUCE RIESGOS'!$F$4:$G$281,2,FALSE)</f>
        <v>#N/A</v>
      </c>
    </row>
    <row r="391" spans="1:6" ht="57" x14ac:dyDescent="0.2">
      <c r="A391" s="94" t="s">
        <v>548</v>
      </c>
      <c r="B391" s="98" t="s">
        <v>69</v>
      </c>
      <c r="C391" s="85" t="s">
        <v>617</v>
      </c>
      <c r="D391" s="104" t="s">
        <v>16</v>
      </c>
      <c r="E391" s="104" t="s">
        <v>144</v>
      </c>
      <c r="F391" s="51" t="e">
        <f>+VLOOKUP(C391,'[1]CRUCE RIESGOS'!$F$4:$G$281,2,FALSE)</f>
        <v>#N/A</v>
      </c>
    </row>
    <row r="392" spans="1:6" ht="42.75" x14ac:dyDescent="0.2">
      <c r="A392" s="94" t="s">
        <v>548</v>
      </c>
      <c r="B392" s="98" t="s">
        <v>69</v>
      </c>
      <c r="C392" s="50" t="s">
        <v>618</v>
      </c>
      <c r="D392" s="104" t="s">
        <v>16</v>
      </c>
      <c r="E392" s="104" t="s">
        <v>144</v>
      </c>
      <c r="F392" s="51" t="e">
        <f>+VLOOKUP(C392,'[1]CRUCE RIESGOS'!$F$4:$G$281,2,FALSE)</f>
        <v>#N/A</v>
      </c>
    </row>
    <row r="393" spans="1:6" ht="30" x14ac:dyDescent="0.2">
      <c r="A393" s="94" t="s">
        <v>548</v>
      </c>
      <c r="B393" s="98" t="s">
        <v>69</v>
      </c>
      <c r="C393" s="85" t="s">
        <v>619</v>
      </c>
      <c r="D393" s="104" t="s">
        <v>9</v>
      </c>
      <c r="E393" s="104" t="s">
        <v>26</v>
      </c>
      <c r="F393" s="51" t="e">
        <f>+VLOOKUP(C393,'[1]CRUCE RIESGOS'!$F$4:$G$281,2,FALSE)</f>
        <v>#N/A</v>
      </c>
    </row>
    <row r="394" spans="1:6" ht="30" x14ac:dyDescent="0.2">
      <c r="A394" s="94" t="s">
        <v>548</v>
      </c>
      <c r="B394" s="98" t="s">
        <v>69</v>
      </c>
      <c r="C394" s="50" t="s">
        <v>620</v>
      </c>
      <c r="D394" s="104" t="s">
        <v>11</v>
      </c>
      <c r="E394" s="104" t="s">
        <v>1639</v>
      </c>
      <c r="F394" s="51" t="e">
        <f>+VLOOKUP(C394,'[1]CRUCE RIESGOS'!$F$4:$G$281,2,FALSE)</f>
        <v>#N/A</v>
      </c>
    </row>
    <row r="395" spans="1:6" ht="42.75" x14ac:dyDescent="0.2">
      <c r="A395" s="94" t="s">
        <v>548</v>
      </c>
      <c r="B395" s="98" t="s">
        <v>69</v>
      </c>
      <c r="C395" s="85" t="s">
        <v>621</v>
      </c>
      <c r="D395" s="104" t="s">
        <v>11</v>
      </c>
      <c r="E395" s="104" t="s">
        <v>1639</v>
      </c>
      <c r="F395" s="51" t="e">
        <f>+VLOOKUP(C395,'[1]CRUCE RIESGOS'!$F$4:$G$281,2,FALSE)</f>
        <v>#N/A</v>
      </c>
    </row>
    <row r="396" spans="1:6" ht="30" x14ac:dyDescent="0.2">
      <c r="A396" s="94" t="s">
        <v>548</v>
      </c>
      <c r="B396" s="98" t="s">
        <v>69</v>
      </c>
      <c r="C396" s="85" t="s">
        <v>622</v>
      </c>
      <c r="D396" s="104" t="s">
        <v>9</v>
      </c>
      <c r="E396" s="104" t="s">
        <v>10</v>
      </c>
      <c r="F396" s="51" t="e">
        <f>+VLOOKUP(C396,'[1]CRUCE RIESGOS'!$F$4:$G$281,2,FALSE)</f>
        <v>#N/A</v>
      </c>
    </row>
    <row r="397" spans="1:6" ht="57" x14ac:dyDescent="0.2">
      <c r="A397" s="94" t="s">
        <v>548</v>
      </c>
      <c r="B397" s="98" t="s">
        <v>69</v>
      </c>
      <c r="C397" s="85" t="s">
        <v>1880</v>
      </c>
      <c r="D397" s="104" t="s">
        <v>11</v>
      </c>
      <c r="E397" s="104" t="s">
        <v>1841</v>
      </c>
      <c r="F397" s="51" t="e">
        <f>+VLOOKUP(C397,'[1]CRUCE RIESGOS'!$F$4:$G$281,2,FALSE)</f>
        <v>#N/A</v>
      </c>
    </row>
    <row r="398" spans="1:6" ht="30" x14ac:dyDescent="0.2">
      <c r="A398" s="94" t="s">
        <v>548</v>
      </c>
      <c r="B398" s="98" t="s">
        <v>636</v>
      </c>
      <c r="C398" s="50" t="s">
        <v>624</v>
      </c>
      <c r="D398" s="104" t="s">
        <v>9</v>
      </c>
      <c r="E398" s="104" t="s">
        <v>10</v>
      </c>
      <c r="F398" s="51" t="e">
        <f>+VLOOKUP(C398,'[1]CRUCE RIESGOS'!$F$4:$G$281,2,FALSE)</f>
        <v>#N/A</v>
      </c>
    </row>
    <row r="399" spans="1:6" ht="57" x14ac:dyDescent="0.2">
      <c r="A399" s="94" t="s">
        <v>548</v>
      </c>
      <c r="B399" s="98" t="s">
        <v>636</v>
      </c>
      <c r="C399" s="85" t="s">
        <v>628</v>
      </c>
      <c r="D399" s="104" t="s">
        <v>1837</v>
      </c>
      <c r="E399" s="104" t="s">
        <v>20</v>
      </c>
      <c r="F399" s="51" t="e">
        <f>+VLOOKUP(C399,'[1]CRUCE RIESGOS'!$F$4:$G$281,2,FALSE)</f>
        <v>#N/A</v>
      </c>
    </row>
    <row r="400" spans="1:6" ht="30" x14ac:dyDescent="0.2">
      <c r="A400" s="94" t="s">
        <v>548</v>
      </c>
      <c r="B400" s="98" t="s">
        <v>636</v>
      </c>
      <c r="C400" s="50" t="s">
        <v>629</v>
      </c>
      <c r="D400" s="104" t="s">
        <v>1837</v>
      </c>
      <c r="E400" s="104" t="s">
        <v>52</v>
      </c>
      <c r="F400" s="51" t="e">
        <f>+VLOOKUP(C400,'[1]CRUCE RIESGOS'!$F$4:$G$281,2,FALSE)</f>
        <v>#N/A</v>
      </c>
    </row>
    <row r="401" spans="1:6" ht="30" x14ac:dyDescent="0.2">
      <c r="A401" s="94" t="s">
        <v>548</v>
      </c>
      <c r="B401" s="98" t="s">
        <v>636</v>
      </c>
      <c r="C401" s="50" t="s">
        <v>630</v>
      </c>
      <c r="D401" s="104" t="s">
        <v>11</v>
      </c>
      <c r="E401" s="104" t="s">
        <v>1639</v>
      </c>
      <c r="F401" s="51" t="e">
        <f>+VLOOKUP(C401,'[1]CRUCE RIESGOS'!$F$4:$G$281,2,FALSE)</f>
        <v>#N/A</v>
      </c>
    </row>
    <row r="402" spans="1:6" ht="42.75" x14ac:dyDescent="0.2">
      <c r="A402" s="94" t="s">
        <v>548</v>
      </c>
      <c r="B402" s="98" t="s">
        <v>636</v>
      </c>
      <c r="C402" s="50" t="s">
        <v>631</v>
      </c>
      <c r="D402" s="104" t="s">
        <v>12</v>
      </c>
      <c r="E402" s="104" t="s">
        <v>32</v>
      </c>
      <c r="F402" s="51" t="e">
        <f>+VLOOKUP(C402,'[1]CRUCE RIESGOS'!$F$4:$G$281,2,FALSE)</f>
        <v>#N/A</v>
      </c>
    </row>
    <row r="403" spans="1:6" ht="42.75" x14ac:dyDescent="0.2">
      <c r="A403" s="94" t="s">
        <v>548</v>
      </c>
      <c r="B403" s="98" t="s">
        <v>636</v>
      </c>
      <c r="C403" s="50" t="s">
        <v>632</v>
      </c>
      <c r="D403" s="104" t="s">
        <v>59</v>
      </c>
      <c r="E403" s="104" t="s">
        <v>293</v>
      </c>
      <c r="F403" s="51" t="e">
        <f>+VLOOKUP(C403,'[1]CRUCE RIESGOS'!$F$4:$G$281,2,FALSE)</f>
        <v>#N/A</v>
      </c>
    </row>
    <row r="404" spans="1:6" ht="42.75" x14ac:dyDescent="0.2">
      <c r="A404" s="94" t="s">
        <v>548</v>
      </c>
      <c r="B404" s="98" t="s">
        <v>636</v>
      </c>
      <c r="C404" s="50" t="s">
        <v>633</v>
      </c>
      <c r="D404" s="104" t="s">
        <v>1837</v>
      </c>
      <c r="E404" s="104" t="s">
        <v>563</v>
      </c>
      <c r="F404" s="51" t="e">
        <f>+VLOOKUP(C404,'[1]CRUCE RIESGOS'!$F$4:$G$281,2,FALSE)</f>
        <v>#N/A</v>
      </c>
    </row>
    <row r="405" spans="1:6" ht="30" x14ac:dyDescent="0.2">
      <c r="A405" s="94" t="s">
        <v>548</v>
      </c>
      <c r="B405" s="98" t="s">
        <v>636</v>
      </c>
      <c r="C405" s="50" t="s">
        <v>634</v>
      </c>
      <c r="D405" s="104" t="s">
        <v>59</v>
      </c>
      <c r="E405" s="104" t="s">
        <v>293</v>
      </c>
      <c r="F405" s="51" t="e">
        <f>+VLOOKUP(C405,'[1]CRUCE RIESGOS'!$F$4:$G$281,2,FALSE)</f>
        <v>#N/A</v>
      </c>
    </row>
    <row r="406" spans="1:6" ht="42.75" x14ac:dyDescent="0.2">
      <c r="A406" s="94" t="s">
        <v>548</v>
      </c>
      <c r="B406" s="98" t="s">
        <v>636</v>
      </c>
      <c r="C406" s="50" t="s">
        <v>635</v>
      </c>
      <c r="D406" s="104" t="s">
        <v>9</v>
      </c>
      <c r="E406" s="104" t="s">
        <v>15</v>
      </c>
      <c r="F406" s="51" t="e">
        <f>+VLOOKUP(C406,'[1]CRUCE RIESGOS'!$F$4:$G$281,2,FALSE)</f>
        <v>#N/A</v>
      </c>
    </row>
    <row r="407" spans="1:6" ht="30" x14ac:dyDescent="0.2">
      <c r="A407" s="94" t="s">
        <v>548</v>
      </c>
      <c r="B407" s="98" t="s">
        <v>636</v>
      </c>
      <c r="C407" s="50" t="s">
        <v>625</v>
      </c>
      <c r="D407" s="104" t="s">
        <v>9</v>
      </c>
      <c r="E407" s="104" t="s">
        <v>26</v>
      </c>
      <c r="F407" s="51" t="e">
        <f>+VLOOKUP(C407,'[1]CRUCE RIESGOS'!$F$4:$G$281,2,FALSE)</f>
        <v>#N/A</v>
      </c>
    </row>
    <row r="408" spans="1:6" ht="30" x14ac:dyDescent="0.2">
      <c r="A408" s="94" t="s">
        <v>548</v>
      </c>
      <c r="B408" s="98" t="s">
        <v>636</v>
      </c>
      <c r="C408" s="50" t="s">
        <v>1881</v>
      </c>
      <c r="D408" s="104" t="s">
        <v>1837</v>
      </c>
      <c r="E408" s="104" t="s">
        <v>52</v>
      </c>
      <c r="F408" s="51" t="e">
        <f>+VLOOKUP(C408,'[1]CRUCE RIESGOS'!$F$4:$G$281,2,FALSE)</f>
        <v>#N/A</v>
      </c>
    </row>
    <row r="409" spans="1:6" ht="30" x14ac:dyDescent="0.2">
      <c r="A409" s="94" t="s">
        <v>548</v>
      </c>
      <c r="B409" s="98" t="s">
        <v>636</v>
      </c>
      <c r="C409" s="50" t="s">
        <v>1882</v>
      </c>
      <c r="D409" s="104" t="s">
        <v>1837</v>
      </c>
      <c r="E409" s="104" t="s">
        <v>70</v>
      </c>
      <c r="F409" s="51" t="e">
        <f>+VLOOKUP(C409,'[1]CRUCE RIESGOS'!$F$4:$G$281,2,FALSE)</f>
        <v>#N/A</v>
      </c>
    </row>
    <row r="410" spans="1:6" ht="42.75" x14ac:dyDescent="0.2">
      <c r="A410" s="94" t="s">
        <v>548</v>
      </c>
      <c r="B410" s="98" t="s">
        <v>636</v>
      </c>
      <c r="C410" s="50" t="s">
        <v>626</v>
      </c>
      <c r="D410" s="104" t="s">
        <v>1837</v>
      </c>
      <c r="E410" s="104" t="s">
        <v>71</v>
      </c>
      <c r="F410" s="51" t="e">
        <f>+VLOOKUP(C410,'[1]CRUCE RIESGOS'!$F$4:$G$281,2,FALSE)</f>
        <v>#N/A</v>
      </c>
    </row>
    <row r="411" spans="1:6" ht="30" x14ac:dyDescent="0.2">
      <c r="A411" s="94" t="s">
        <v>548</v>
      </c>
      <c r="B411" s="98" t="s">
        <v>636</v>
      </c>
      <c r="C411" s="85" t="s">
        <v>627</v>
      </c>
      <c r="D411" s="104" t="s">
        <v>1837</v>
      </c>
      <c r="E411" s="104" t="s">
        <v>20</v>
      </c>
      <c r="F411" s="51" t="e">
        <f>+VLOOKUP(C411,'[1]CRUCE RIESGOS'!$F$4:$G$281,2,FALSE)</f>
        <v>#N/A</v>
      </c>
    </row>
    <row r="412" spans="1:6" ht="42.75" x14ac:dyDescent="0.2">
      <c r="A412" s="94" t="s">
        <v>548</v>
      </c>
      <c r="B412" s="98" t="s">
        <v>636</v>
      </c>
      <c r="C412" s="50" t="s">
        <v>637</v>
      </c>
      <c r="D412" s="104" t="s">
        <v>16</v>
      </c>
      <c r="E412" s="104" t="s">
        <v>144</v>
      </c>
      <c r="F412" s="51" t="e">
        <f>+VLOOKUP(C412,'[1]CRUCE RIESGOS'!$F$4:$G$281,2,FALSE)</f>
        <v>#N/A</v>
      </c>
    </row>
    <row r="413" spans="1:6" ht="30" x14ac:dyDescent="0.2">
      <c r="A413" s="94" t="s">
        <v>548</v>
      </c>
      <c r="B413" s="98" t="s">
        <v>636</v>
      </c>
      <c r="C413" s="50" t="s">
        <v>638</v>
      </c>
      <c r="D413" s="104" t="s">
        <v>11</v>
      </c>
      <c r="E413" s="104" t="s">
        <v>1841</v>
      </c>
      <c r="F413" s="51" t="e">
        <f>+VLOOKUP(C413,'[1]CRUCE RIESGOS'!$F$4:$G$281,2,FALSE)</f>
        <v>#N/A</v>
      </c>
    </row>
    <row r="414" spans="1:6" ht="30" x14ac:dyDescent="0.2">
      <c r="A414" s="94" t="s">
        <v>548</v>
      </c>
      <c r="B414" s="98" t="s">
        <v>636</v>
      </c>
      <c r="C414" s="50" t="s">
        <v>1883</v>
      </c>
      <c r="D414" s="104" t="s">
        <v>9</v>
      </c>
      <c r="E414" s="104" t="s">
        <v>18</v>
      </c>
      <c r="F414" s="51" t="e">
        <f>+VLOOKUP(C414,'[1]CRUCE RIESGOS'!$F$4:$G$281,2,FALSE)</f>
        <v>#N/A</v>
      </c>
    </row>
    <row r="415" spans="1:6" ht="30" x14ac:dyDescent="0.2">
      <c r="A415" s="94" t="s">
        <v>548</v>
      </c>
      <c r="B415" s="98" t="s">
        <v>102</v>
      </c>
      <c r="C415" s="50" t="s">
        <v>648</v>
      </c>
      <c r="D415" s="104" t="s">
        <v>1837</v>
      </c>
      <c r="E415" s="104" t="s">
        <v>70</v>
      </c>
      <c r="F415" s="51" t="e">
        <f>+VLOOKUP(C415,'[1]CRUCE RIESGOS'!$F$4:$G$281,2,FALSE)</f>
        <v>#N/A</v>
      </c>
    </row>
    <row r="416" spans="1:6" ht="42.75" x14ac:dyDescent="0.2">
      <c r="A416" s="94" t="s">
        <v>548</v>
      </c>
      <c r="B416" s="98" t="s">
        <v>102</v>
      </c>
      <c r="C416" s="50" t="s">
        <v>657</v>
      </c>
      <c r="D416" s="104" t="s">
        <v>12</v>
      </c>
      <c r="E416" s="104" t="s">
        <v>32</v>
      </c>
      <c r="F416" s="51" t="e">
        <f>+VLOOKUP(C416,'[1]CRUCE RIESGOS'!$F$4:$G$281,2,FALSE)</f>
        <v>#N/A</v>
      </c>
    </row>
    <row r="417" spans="1:6" ht="30" x14ac:dyDescent="0.2">
      <c r="A417" s="94" t="s">
        <v>548</v>
      </c>
      <c r="B417" s="98" t="s">
        <v>102</v>
      </c>
      <c r="C417" s="50" t="s">
        <v>665</v>
      </c>
      <c r="D417" s="104" t="s">
        <v>11</v>
      </c>
      <c r="E417" s="104" t="s">
        <v>172</v>
      </c>
      <c r="F417" s="51" t="e">
        <f>+VLOOKUP(C417,'[1]CRUCE RIESGOS'!$F$4:$G$281,2,FALSE)</f>
        <v>#N/A</v>
      </c>
    </row>
    <row r="418" spans="1:6" ht="30" x14ac:dyDescent="0.2">
      <c r="A418" s="94" t="s">
        <v>548</v>
      </c>
      <c r="B418" s="98" t="s">
        <v>102</v>
      </c>
      <c r="C418" s="50" t="s">
        <v>666</v>
      </c>
      <c r="D418" s="104" t="s">
        <v>11</v>
      </c>
      <c r="E418" s="104" t="s">
        <v>1884</v>
      </c>
      <c r="F418" s="51" t="e">
        <f>+VLOOKUP(C418,'[1]CRUCE RIESGOS'!$F$4:$G$281,2,FALSE)</f>
        <v>#N/A</v>
      </c>
    </row>
    <row r="419" spans="1:6" ht="42.75" x14ac:dyDescent="0.2">
      <c r="A419" s="94" t="s">
        <v>548</v>
      </c>
      <c r="B419" s="98" t="s">
        <v>102</v>
      </c>
      <c r="C419" s="50" t="s">
        <v>667</v>
      </c>
      <c r="D419" s="104" t="s">
        <v>9</v>
      </c>
      <c r="E419" s="104" t="s">
        <v>18</v>
      </c>
      <c r="F419" s="51" t="e">
        <f>+VLOOKUP(C419,'[1]CRUCE RIESGOS'!$F$4:$G$281,2,FALSE)</f>
        <v>#N/A</v>
      </c>
    </row>
    <row r="420" spans="1:6" ht="42.75" x14ac:dyDescent="0.2">
      <c r="A420" s="94" t="s">
        <v>548</v>
      </c>
      <c r="B420" s="98" t="s">
        <v>102</v>
      </c>
      <c r="C420" s="50" t="s">
        <v>671</v>
      </c>
      <c r="D420" s="104" t="s">
        <v>12</v>
      </c>
      <c r="E420" s="104" t="s">
        <v>32</v>
      </c>
      <c r="F420" s="51" t="e">
        <f>+VLOOKUP(C420,'[1]CRUCE RIESGOS'!$F$4:$G$281,2,FALSE)</f>
        <v>#N/A</v>
      </c>
    </row>
    <row r="421" spans="1:6" ht="42.75" x14ac:dyDescent="0.2">
      <c r="A421" s="94" t="s">
        <v>548</v>
      </c>
      <c r="B421" s="98" t="s">
        <v>102</v>
      </c>
      <c r="C421" s="50" t="s">
        <v>668</v>
      </c>
      <c r="D421" s="104" t="s">
        <v>12</v>
      </c>
      <c r="E421" s="104" t="s">
        <v>32</v>
      </c>
      <c r="F421" s="51" t="e">
        <f>+VLOOKUP(C421,'[1]CRUCE RIESGOS'!$F$4:$G$281,2,FALSE)</f>
        <v>#N/A</v>
      </c>
    </row>
    <row r="422" spans="1:6" ht="30" x14ac:dyDescent="0.2">
      <c r="A422" s="94" t="s">
        <v>548</v>
      </c>
      <c r="B422" s="98" t="s">
        <v>102</v>
      </c>
      <c r="C422" s="50" t="s">
        <v>669</v>
      </c>
      <c r="D422" s="104" t="s">
        <v>1837</v>
      </c>
      <c r="E422" s="104" t="s">
        <v>138</v>
      </c>
      <c r="F422" s="51" t="e">
        <f>+VLOOKUP(C422,'[1]CRUCE RIESGOS'!$F$4:$G$281,2,FALSE)</f>
        <v>#N/A</v>
      </c>
    </row>
    <row r="423" spans="1:6" ht="30" x14ac:dyDescent="0.2">
      <c r="A423" s="94" t="s">
        <v>548</v>
      </c>
      <c r="B423" s="98" t="s">
        <v>102</v>
      </c>
      <c r="C423" s="50" t="s">
        <v>670</v>
      </c>
      <c r="D423" s="104" t="s">
        <v>16</v>
      </c>
      <c r="E423" s="104" t="s">
        <v>106</v>
      </c>
      <c r="F423" s="51" t="e">
        <f>+VLOOKUP(C423,'[1]CRUCE RIESGOS'!$F$4:$G$281,2,FALSE)</f>
        <v>#N/A</v>
      </c>
    </row>
    <row r="424" spans="1:6" ht="30" x14ac:dyDescent="0.2">
      <c r="A424" s="94" t="s">
        <v>548</v>
      </c>
      <c r="B424" s="98" t="s">
        <v>102</v>
      </c>
      <c r="C424" s="50" t="s">
        <v>649</v>
      </c>
      <c r="D424" s="104" t="s">
        <v>9</v>
      </c>
      <c r="E424" s="104" t="s">
        <v>10</v>
      </c>
      <c r="F424" s="51" t="e">
        <f>+VLOOKUP(C424,'[1]CRUCE RIESGOS'!$F$4:$G$281,2,FALSE)</f>
        <v>#N/A</v>
      </c>
    </row>
    <row r="425" spans="1:6" ht="30" x14ac:dyDescent="0.2">
      <c r="A425" s="94" t="s">
        <v>548</v>
      </c>
      <c r="B425" s="98" t="s">
        <v>102</v>
      </c>
      <c r="C425" s="50" t="s">
        <v>650</v>
      </c>
      <c r="D425" s="104" t="s">
        <v>11</v>
      </c>
      <c r="E425" s="104" t="s">
        <v>1884</v>
      </c>
      <c r="F425" s="51" t="e">
        <f>+VLOOKUP(C425,'[1]CRUCE RIESGOS'!$F$4:$G$281,2,FALSE)</f>
        <v>#N/A</v>
      </c>
    </row>
    <row r="426" spans="1:6" ht="30" x14ac:dyDescent="0.2">
      <c r="A426" s="94" t="s">
        <v>548</v>
      </c>
      <c r="B426" s="98" t="s">
        <v>102</v>
      </c>
      <c r="C426" s="50" t="s">
        <v>651</v>
      </c>
      <c r="D426" s="104" t="s">
        <v>42</v>
      </c>
      <c r="E426" s="104" t="s">
        <v>143</v>
      </c>
      <c r="F426" s="51" t="e">
        <f>+VLOOKUP(C426,'[1]CRUCE RIESGOS'!$F$4:$G$281,2,FALSE)</f>
        <v>#N/A</v>
      </c>
    </row>
    <row r="427" spans="1:6" ht="30" x14ac:dyDescent="0.2">
      <c r="A427" s="94" t="s">
        <v>548</v>
      </c>
      <c r="B427" s="98" t="s">
        <v>102</v>
      </c>
      <c r="C427" s="50" t="s">
        <v>652</v>
      </c>
      <c r="D427" s="104" t="s">
        <v>11</v>
      </c>
      <c r="E427" s="104" t="s">
        <v>142</v>
      </c>
      <c r="F427" s="51" t="e">
        <f>+VLOOKUP(C427,'[1]CRUCE RIESGOS'!$F$4:$G$281,2,FALSE)</f>
        <v>#N/A</v>
      </c>
    </row>
    <row r="428" spans="1:6" ht="30" x14ac:dyDescent="0.2">
      <c r="A428" s="94" t="s">
        <v>548</v>
      </c>
      <c r="B428" s="98" t="s">
        <v>102</v>
      </c>
      <c r="C428" s="50" t="s">
        <v>653</v>
      </c>
      <c r="D428" s="104" t="s">
        <v>11</v>
      </c>
      <c r="E428" s="104" t="s">
        <v>142</v>
      </c>
      <c r="F428" s="51" t="e">
        <f>+VLOOKUP(C428,'[1]CRUCE RIESGOS'!$F$4:$G$281,2,FALSE)</f>
        <v>#N/A</v>
      </c>
    </row>
    <row r="429" spans="1:6" ht="42.75" x14ac:dyDescent="0.2">
      <c r="A429" s="94" t="s">
        <v>548</v>
      </c>
      <c r="B429" s="98" t="s">
        <v>102</v>
      </c>
      <c r="C429" s="50" t="s">
        <v>654</v>
      </c>
      <c r="D429" s="104" t="s">
        <v>12</v>
      </c>
      <c r="E429" s="104" t="s">
        <v>13</v>
      </c>
      <c r="F429" s="51" t="e">
        <f>+VLOOKUP(C429,'[1]CRUCE RIESGOS'!$F$4:$G$281,2,FALSE)</f>
        <v>#N/A</v>
      </c>
    </row>
    <row r="430" spans="1:6" ht="30" x14ac:dyDescent="0.2">
      <c r="A430" s="94" t="s">
        <v>548</v>
      </c>
      <c r="B430" s="98" t="s">
        <v>102</v>
      </c>
      <c r="C430" s="50" t="s">
        <v>672</v>
      </c>
      <c r="D430" s="104" t="s">
        <v>11</v>
      </c>
      <c r="E430" s="104" t="s">
        <v>142</v>
      </c>
      <c r="F430" s="51" t="e">
        <f>+VLOOKUP(C430,'[1]CRUCE RIESGOS'!$F$4:$G$281,2,FALSE)</f>
        <v>#N/A</v>
      </c>
    </row>
    <row r="431" spans="1:6" ht="30" x14ac:dyDescent="0.2">
      <c r="A431" s="94" t="s">
        <v>548</v>
      </c>
      <c r="B431" s="98" t="s">
        <v>102</v>
      </c>
      <c r="C431" s="50" t="s">
        <v>673</v>
      </c>
      <c r="D431" s="104" t="s">
        <v>9</v>
      </c>
      <c r="E431" s="104" t="s">
        <v>10</v>
      </c>
      <c r="F431" s="51" t="e">
        <f>+VLOOKUP(C431,'[1]CRUCE RIESGOS'!$F$4:$G$281,2,FALSE)</f>
        <v>#N/A</v>
      </c>
    </row>
    <row r="432" spans="1:6" ht="42.75" x14ac:dyDescent="0.2">
      <c r="A432" s="94" t="s">
        <v>548</v>
      </c>
      <c r="B432" s="98" t="s">
        <v>102</v>
      </c>
      <c r="C432" s="50" t="s">
        <v>655</v>
      </c>
      <c r="D432" s="104" t="s">
        <v>9</v>
      </c>
      <c r="E432" s="104" t="s">
        <v>33</v>
      </c>
      <c r="F432" s="51" t="e">
        <f>+VLOOKUP(C432,'[1]CRUCE RIESGOS'!$F$4:$G$281,2,FALSE)</f>
        <v>#N/A</v>
      </c>
    </row>
    <row r="433" spans="1:6" ht="30" x14ac:dyDescent="0.2">
      <c r="A433" s="94" t="s">
        <v>548</v>
      </c>
      <c r="B433" s="98" t="s">
        <v>102</v>
      </c>
      <c r="C433" s="50" t="s">
        <v>656</v>
      </c>
      <c r="D433" s="104" t="s">
        <v>9</v>
      </c>
      <c r="E433" s="104" t="s">
        <v>15</v>
      </c>
      <c r="F433" s="51" t="e">
        <f>+VLOOKUP(C433,'[1]CRUCE RIESGOS'!$F$4:$G$281,2,FALSE)</f>
        <v>#N/A</v>
      </c>
    </row>
    <row r="434" spans="1:6" ht="30" x14ac:dyDescent="0.2">
      <c r="A434" s="94" t="s">
        <v>548</v>
      </c>
      <c r="B434" s="98" t="s">
        <v>102</v>
      </c>
      <c r="C434" s="50" t="s">
        <v>658</v>
      </c>
      <c r="D434" s="104" t="s">
        <v>59</v>
      </c>
      <c r="E434" s="104" t="s">
        <v>293</v>
      </c>
      <c r="F434" s="51" t="e">
        <f>+VLOOKUP(C434,'[1]CRUCE RIESGOS'!$F$4:$G$281,2,FALSE)</f>
        <v>#N/A</v>
      </c>
    </row>
    <row r="435" spans="1:6" ht="30" x14ac:dyDescent="0.2">
      <c r="A435" s="94" t="s">
        <v>548</v>
      </c>
      <c r="B435" s="98" t="s">
        <v>102</v>
      </c>
      <c r="C435" s="50" t="s">
        <v>659</v>
      </c>
      <c r="D435" s="104" t="s">
        <v>1837</v>
      </c>
      <c r="E435" s="104" t="s">
        <v>138</v>
      </c>
      <c r="F435" s="51" t="e">
        <f>+VLOOKUP(C435,'[1]CRUCE RIESGOS'!$F$4:$G$281,2,FALSE)</f>
        <v>#N/A</v>
      </c>
    </row>
    <row r="436" spans="1:6" ht="30" x14ac:dyDescent="0.2">
      <c r="A436" s="94" t="s">
        <v>548</v>
      </c>
      <c r="B436" s="98" t="s">
        <v>102</v>
      </c>
      <c r="C436" s="50" t="s">
        <v>660</v>
      </c>
      <c r="D436" s="104" t="s">
        <v>16</v>
      </c>
      <c r="E436" s="104" t="s">
        <v>144</v>
      </c>
      <c r="F436" s="51" t="e">
        <f>+VLOOKUP(C436,'[1]CRUCE RIESGOS'!$F$4:$G$281,2,FALSE)</f>
        <v>#N/A</v>
      </c>
    </row>
    <row r="437" spans="1:6" ht="30" x14ac:dyDescent="0.2">
      <c r="A437" s="94" t="s">
        <v>548</v>
      </c>
      <c r="B437" s="98" t="s">
        <v>102</v>
      </c>
      <c r="C437" s="50" t="s">
        <v>661</v>
      </c>
      <c r="D437" s="104" t="s">
        <v>11</v>
      </c>
      <c r="E437" s="104" t="s">
        <v>1841</v>
      </c>
      <c r="F437" s="51" t="e">
        <f>+VLOOKUP(C437,'[1]CRUCE RIESGOS'!$F$4:$G$281,2,FALSE)</f>
        <v>#N/A</v>
      </c>
    </row>
    <row r="438" spans="1:6" ht="42.75" x14ac:dyDescent="0.2">
      <c r="A438" s="94" t="s">
        <v>548</v>
      </c>
      <c r="B438" s="98" t="s">
        <v>102</v>
      </c>
      <c r="C438" s="85" t="s">
        <v>662</v>
      </c>
      <c r="D438" s="104" t="s">
        <v>42</v>
      </c>
      <c r="E438" s="104" t="s">
        <v>143</v>
      </c>
      <c r="F438" s="51" t="e">
        <f>+VLOOKUP(C438,'[1]CRUCE RIESGOS'!$F$4:$G$281,2,FALSE)</f>
        <v>#N/A</v>
      </c>
    </row>
    <row r="439" spans="1:6" ht="30" x14ac:dyDescent="0.2">
      <c r="A439" s="94" t="s">
        <v>548</v>
      </c>
      <c r="B439" s="98" t="s">
        <v>102</v>
      </c>
      <c r="C439" s="85" t="s">
        <v>663</v>
      </c>
      <c r="D439" s="104" t="s">
        <v>11</v>
      </c>
      <c r="E439" s="104" t="s">
        <v>142</v>
      </c>
      <c r="F439" s="51" t="e">
        <f>+VLOOKUP(C439,'[1]CRUCE RIESGOS'!$F$4:$G$281,2,FALSE)</f>
        <v>#N/A</v>
      </c>
    </row>
    <row r="440" spans="1:6" ht="30" x14ac:dyDescent="0.2">
      <c r="A440" s="94" t="s">
        <v>548</v>
      </c>
      <c r="B440" s="98" t="s">
        <v>102</v>
      </c>
      <c r="C440" s="85" t="s">
        <v>664</v>
      </c>
      <c r="D440" s="104" t="s">
        <v>9</v>
      </c>
      <c r="E440" s="104" t="s">
        <v>15</v>
      </c>
      <c r="F440" s="51" t="e">
        <f>+VLOOKUP(C440,'[1]CRUCE RIESGOS'!$F$4:$G$281,2,FALSE)</f>
        <v>#N/A</v>
      </c>
    </row>
    <row r="441" spans="1:6" ht="42.75" x14ac:dyDescent="0.2">
      <c r="A441" s="94" t="s">
        <v>548</v>
      </c>
      <c r="B441" s="98" t="s">
        <v>139</v>
      </c>
      <c r="C441" s="50" t="s">
        <v>696</v>
      </c>
      <c r="D441" s="104" t="s">
        <v>12</v>
      </c>
      <c r="E441" s="104" t="s">
        <v>13</v>
      </c>
      <c r="F441" s="51" t="e">
        <f>+VLOOKUP(C441,'[1]CRUCE RIESGOS'!$F$4:$G$281,2,FALSE)</f>
        <v>#N/A</v>
      </c>
    </row>
    <row r="442" spans="1:6" ht="30" x14ac:dyDescent="0.2">
      <c r="A442" s="94" t="s">
        <v>548</v>
      </c>
      <c r="B442" s="98" t="s">
        <v>139</v>
      </c>
      <c r="C442" s="50" t="s">
        <v>707</v>
      </c>
      <c r="D442" s="104" t="s">
        <v>9</v>
      </c>
      <c r="E442" s="104" t="s">
        <v>10</v>
      </c>
      <c r="F442" s="51" t="e">
        <f>+VLOOKUP(C442,'[1]CRUCE RIESGOS'!$F$4:$G$281,2,FALSE)</f>
        <v>#N/A</v>
      </c>
    </row>
    <row r="443" spans="1:6" ht="42.75" x14ac:dyDescent="0.2">
      <c r="A443" s="94" t="s">
        <v>548</v>
      </c>
      <c r="B443" s="98" t="s">
        <v>139</v>
      </c>
      <c r="C443" s="50" t="s">
        <v>709</v>
      </c>
      <c r="D443" s="104" t="s">
        <v>12</v>
      </c>
      <c r="E443" s="104" t="s">
        <v>32</v>
      </c>
      <c r="F443" s="51" t="e">
        <f>+VLOOKUP(C443,'[1]CRUCE RIESGOS'!$F$4:$G$281,2,FALSE)</f>
        <v>#N/A</v>
      </c>
    </row>
    <row r="444" spans="1:6" ht="42.75" x14ac:dyDescent="0.2">
      <c r="A444" s="94" t="s">
        <v>548</v>
      </c>
      <c r="B444" s="98" t="s">
        <v>139</v>
      </c>
      <c r="C444" s="50" t="s">
        <v>710</v>
      </c>
      <c r="D444" s="104" t="s">
        <v>12</v>
      </c>
      <c r="E444" s="104" t="s">
        <v>32</v>
      </c>
      <c r="F444" s="51" t="e">
        <f>+VLOOKUP(C444,'[1]CRUCE RIESGOS'!$F$4:$G$281,2,FALSE)</f>
        <v>#N/A</v>
      </c>
    </row>
    <row r="445" spans="1:6" ht="51" customHeight="1" x14ac:dyDescent="0.2">
      <c r="A445" s="94" t="s">
        <v>548</v>
      </c>
      <c r="B445" s="98" t="s">
        <v>139</v>
      </c>
      <c r="C445" s="50" t="s">
        <v>711</v>
      </c>
      <c r="D445" s="104" t="s">
        <v>12</v>
      </c>
      <c r="E445" s="104" t="s">
        <v>714</v>
      </c>
      <c r="F445" s="51" t="e">
        <f>+VLOOKUP(C445,'[1]CRUCE RIESGOS'!$F$4:$G$281,2,FALSE)</f>
        <v>#N/A</v>
      </c>
    </row>
    <row r="446" spans="1:6" ht="71.25" x14ac:dyDescent="0.2">
      <c r="A446" s="94" t="s">
        <v>548</v>
      </c>
      <c r="B446" s="98" t="s">
        <v>139</v>
      </c>
      <c r="C446" s="85" t="s">
        <v>712</v>
      </c>
      <c r="D446" s="104" t="s">
        <v>12</v>
      </c>
      <c r="E446" s="104" t="s">
        <v>32</v>
      </c>
      <c r="F446" s="51" t="e">
        <f>+VLOOKUP(C446,'[1]CRUCE RIESGOS'!$F$4:$G$281,2,FALSE)</f>
        <v>#VALUE!</v>
      </c>
    </row>
    <row r="447" spans="1:6" ht="30" x14ac:dyDescent="0.2">
      <c r="A447" s="94" t="s">
        <v>548</v>
      </c>
      <c r="B447" s="98" t="s">
        <v>139</v>
      </c>
      <c r="C447" s="50" t="s">
        <v>713</v>
      </c>
      <c r="D447" s="104" t="s">
        <v>1837</v>
      </c>
      <c r="E447" s="104" t="s">
        <v>70</v>
      </c>
      <c r="F447" s="51" t="e">
        <f>+VLOOKUP(C447,'[1]CRUCE RIESGOS'!$F$4:$G$281,2,FALSE)</f>
        <v>#N/A</v>
      </c>
    </row>
    <row r="448" spans="1:6" ht="30" x14ac:dyDescent="0.2">
      <c r="A448" s="94" t="s">
        <v>548</v>
      </c>
      <c r="B448" s="98" t="s">
        <v>139</v>
      </c>
      <c r="C448" s="85" t="s">
        <v>715</v>
      </c>
      <c r="D448" s="104" t="s">
        <v>16</v>
      </c>
      <c r="E448" s="104" t="s">
        <v>103</v>
      </c>
      <c r="F448" s="51" t="e">
        <f>+VLOOKUP(C448,'[1]CRUCE RIESGOS'!$F$4:$G$281,2,FALSE)</f>
        <v>#N/A</v>
      </c>
    </row>
    <row r="449" spans="1:6" ht="42.75" x14ac:dyDescent="0.2">
      <c r="A449" s="94" t="s">
        <v>548</v>
      </c>
      <c r="B449" s="98" t="s">
        <v>139</v>
      </c>
      <c r="C449" s="85" t="s">
        <v>716</v>
      </c>
      <c r="D449" s="104" t="s">
        <v>12</v>
      </c>
      <c r="E449" s="104" t="s">
        <v>32</v>
      </c>
      <c r="F449" s="51" t="e">
        <f>+VLOOKUP(C449,'[1]CRUCE RIESGOS'!$F$4:$G$281,2,FALSE)</f>
        <v>#N/A</v>
      </c>
    </row>
    <row r="450" spans="1:6" ht="30" x14ac:dyDescent="0.2">
      <c r="A450" s="94" t="s">
        <v>548</v>
      </c>
      <c r="B450" s="98" t="s">
        <v>139</v>
      </c>
      <c r="C450" s="50" t="s">
        <v>697</v>
      </c>
      <c r="D450" s="104" t="s">
        <v>9</v>
      </c>
      <c r="E450" s="104" t="s">
        <v>18</v>
      </c>
      <c r="F450" s="51" t="e">
        <f>+VLOOKUP(C450,'[1]CRUCE RIESGOS'!$F$4:$G$281,2,FALSE)</f>
        <v>#N/A</v>
      </c>
    </row>
    <row r="451" spans="1:6" ht="42.75" x14ac:dyDescent="0.2">
      <c r="A451" s="94" t="s">
        <v>548</v>
      </c>
      <c r="B451" s="98" t="s">
        <v>139</v>
      </c>
      <c r="C451" s="85" t="s">
        <v>698</v>
      </c>
      <c r="D451" s="104" t="s">
        <v>9</v>
      </c>
      <c r="E451" s="104" t="s">
        <v>15</v>
      </c>
      <c r="F451" s="51" t="e">
        <f>+VLOOKUP(C451,'[1]CRUCE RIESGOS'!$F$4:$G$281,2,FALSE)</f>
        <v>#N/A</v>
      </c>
    </row>
    <row r="452" spans="1:6" ht="30" x14ac:dyDescent="0.2">
      <c r="A452" s="94" t="s">
        <v>548</v>
      </c>
      <c r="B452" s="98" t="s">
        <v>139</v>
      </c>
      <c r="C452" s="85" t="s">
        <v>699</v>
      </c>
      <c r="D452" s="104" t="s">
        <v>59</v>
      </c>
      <c r="E452" s="104" t="s">
        <v>293</v>
      </c>
      <c r="F452" s="51" t="e">
        <f>+VLOOKUP(C452,'[1]CRUCE RIESGOS'!$F$4:$G$281,2,FALSE)</f>
        <v>#N/A</v>
      </c>
    </row>
    <row r="453" spans="1:6" ht="30" x14ac:dyDescent="0.2">
      <c r="A453" s="94" t="s">
        <v>548</v>
      </c>
      <c r="B453" s="98" t="s">
        <v>139</v>
      </c>
      <c r="C453" s="85" t="s">
        <v>700</v>
      </c>
      <c r="D453" s="104" t="s">
        <v>1837</v>
      </c>
      <c r="E453" s="104" t="s">
        <v>56</v>
      </c>
      <c r="F453" s="51" t="e">
        <f>+VLOOKUP(C453,'[1]CRUCE RIESGOS'!$F$4:$G$281,2,FALSE)</f>
        <v>#N/A</v>
      </c>
    </row>
    <row r="454" spans="1:6" ht="30" x14ac:dyDescent="0.2">
      <c r="A454" s="94" t="s">
        <v>548</v>
      </c>
      <c r="B454" s="98" t="s">
        <v>139</v>
      </c>
      <c r="C454" s="50" t="s">
        <v>701</v>
      </c>
      <c r="D454" s="104" t="s">
        <v>1837</v>
      </c>
      <c r="E454" s="104" t="s">
        <v>22</v>
      </c>
      <c r="F454" s="51" t="e">
        <f>+VLOOKUP(C454,'[1]CRUCE RIESGOS'!$F$4:$G$281,2,FALSE)</f>
        <v>#N/A</v>
      </c>
    </row>
    <row r="455" spans="1:6" ht="30" x14ac:dyDescent="0.2">
      <c r="A455" s="94" t="s">
        <v>548</v>
      </c>
      <c r="B455" s="98" t="s">
        <v>139</v>
      </c>
      <c r="C455" s="85" t="s">
        <v>702</v>
      </c>
      <c r="D455" s="104" t="s">
        <v>16</v>
      </c>
      <c r="E455" s="104" t="s">
        <v>144</v>
      </c>
      <c r="F455" s="51" t="e">
        <f>+VLOOKUP(C455,'[1]CRUCE RIESGOS'!$F$4:$G$281,2,FALSE)</f>
        <v>#N/A</v>
      </c>
    </row>
    <row r="456" spans="1:6" ht="30" x14ac:dyDescent="0.2">
      <c r="A456" s="94" t="s">
        <v>548</v>
      </c>
      <c r="B456" s="98" t="s">
        <v>139</v>
      </c>
      <c r="C456" s="85" t="s">
        <v>703</v>
      </c>
      <c r="D456" s="104" t="s">
        <v>1837</v>
      </c>
      <c r="E456" s="104" t="s">
        <v>52</v>
      </c>
      <c r="F456" s="51" t="e">
        <f>+VLOOKUP(C456,'[1]CRUCE RIESGOS'!$F$4:$G$281,2,FALSE)</f>
        <v>#N/A</v>
      </c>
    </row>
    <row r="457" spans="1:6" ht="42.75" x14ac:dyDescent="0.2">
      <c r="A457" s="94" t="s">
        <v>548</v>
      </c>
      <c r="B457" s="98" t="s">
        <v>139</v>
      </c>
      <c r="C457" s="85" t="s">
        <v>704</v>
      </c>
      <c r="D457" s="104" t="s">
        <v>1837</v>
      </c>
      <c r="E457" s="104" t="s">
        <v>52</v>
      </c>
      <c r="F457" s="51" t="e">
        <f>+VLOOKUP(C457,'[1]CRUCE RIESGOS'!$F$4:$G$281,2,FALSE)</f>
        <v>#N/A</v>
      </c>
    </row>
    <row r="458" spans="1:6" ht="42.75" x14ac:dyDescent="0.2">
      <c r="A458" s="94" t="s">
        <v>548</v>
      </c>
      <c r="B458" s="98" t="s">
        <v>139</v>
      </c>
      <c r="C458" s="85" t="s">
        <v>705</v>
      </c>
      <c r="D458" s="104" t="s">
        <v>12</v>
      </c>
      <c r="E458" s="104" t="s">
        <v>32</v>
      </c>
      <c r="F458" s="51" t="e">
        <f>+VLOOKUP(C458,'[1]CRUCE RIESGOS'!$F$4:$G$281,2,FALSE)</f>
        <v>#N/A</v>
      </c>
    </row>
    <row r="459" spans="1:6" ht="30" x14ac:dyDescent="0.2">
      <c r="A459" s="94" t="s">
        <v>548</v>
      </c>
      <c r="B459" s="98" t="s">
        <v>139</v>
      </c>
      <c r="C459" s="85" t="s">
        <v>706</v>
      </c>
      <c r="D459" s="104" t="s">
        <v>1837</v>
      </c>
      <c r="E459" s="104" t="s">
        <v>52</v>
      </c>
      <c r="F459" s="51" t="e">
        <f>+VLOOKUP(C459,'[1]CRUCE RIESGOS'!$F$4:$G$281,2,FALSE)</f>
        <v>#N/A</v>
      </c>
    </row>
    <row r="460" spans="1:6" ht="30" x14ac:dyDescent="0.2">
      <c r="A460" s="94" t="s">
        <v>548</v>
      </c>
      <c r="B460" s="98" t="s">
        <v>139</v>
      </c>
      <c r="C460" s="85" t="s">
        <v>708</v>
      </c>
      <c r="D460" s="104" t="s">
        <v>9</v>
      </c>
      <c r="E460" s="104" t="s">
        <v>33</v>
      </c>
      <c r="F460" s="51" t="e">
        <f>+VLOOKUP(C460,'[1]CRUCE RIESGOS'!$F$4:$G$281,2,FALSE)</f>
        <v>#N/A</v>
      </c>
    </row>
    <row r="461" spans="1:6" ht="41.25" customHeight="1" x14ac:dyDescent="0.2">
      <c r="A461" s="98" t="s">
        <v>548</v>
      </c>
      <c r="B461" s="98" t="s">
        <v>191</v>
      </c>
      <c r="C461" s="50" t="s">
        <v>720</v>
      </c>
      <c r="D461" s="104" t="s">
        <v>9</v>
      </c>
      <c r="E461" s="104" t="s">
        <v>10</v>
      </c>
      <c r="F461" s="51" t="e">
        <f>+VLOOKUP(C461,'[1]CRUCE RIESGOS'!$F$4:$G$281,2,FALSE)</f>
        <v>#N/A</v>
      </c>
    </row>
    <row r="462" spans="1:6" ht="30" x14ac:dyDescent="0.2">
      <c r="A462" s="98" t="s">
        <v>548</v>
      </c>
      <c r="B462" s="98" t="s">
        <v>191</v>
      </c>
      <c r="C462" s="50" t="s">
        <v>721</v>
      </c>
      <c r="D462" s="104" t="s">
        <v>42</v>
      </c>
      <c r="E462" s="104" t="s">
        <v>43</v>
      </c>
      <c r="F462" s="51" t="e">
        <f>+VLOOKUP(C462,'[1]CRUCE RIESGOS'!$F$4:$G$281,2,FALSE)</f>
        <v>#N/A</v>
      </c>
    </row>
    <row r="463" spans="1:6" ht="30" x14ac:dyDescent="0.2">
      <c r="A463" s="98" t="s">
        <v>548</v>
      </c>
      <c r="B463" s="98" t="s">
        <v>191</v>
      </c>
      <c r="C463" s="50" t="s">
        <v>722</v>
      </c>
      <c r="D463" s="104" t="s">
        <v>9</v>
      </c>
      <c r="E463" s="104" t="s">
        <v>10</v>
      </c>
      <c r="F463" s="51" t="e">
        <f>+VLOOKUP(C463,'[1]CRUCE RIESGOS'!$F$4:$G$281,2,FALSE)</f>
        <v>#N/A</v>
      </c>
    </row>
    <row r="464" spans="1:6" ht="30" x14ac:dyDescent="0.2">
      <c r="A464" s="98" t="s">
        <v>548</v>
      </c>
      <c r="B464" s="98" t="s">
        <v>191</v>
      </c>
      <c r="C464" s="50" t="s">
        <v>723</v>
      </c>
      <c r="D464" s="104" t="s">
        <v>1837</v>
      </c>
      <c r="E464" s="104" t="s">
        <v>138</v>
      </c>
      <c r="F464" s="51" t="e">
        <f>+VLOOKUP(C464,'[1]CRUCE RIESGOS'!$F$4:$G$281,2,FALSE)</f>
        <v>#N/A</v>
      </c>
    </row>
    <row r="465" spans="1:6" ht="42.75" x14ac:dyDescent="0.2">
      <c r="A465" s="98" t="s">
        <v>548</v>
      </c>
      <c r="B465" s="98" t="s">
        <v>191</v>
      </c>
      <c r="C465" s="50" t="s">
        <v>724</v>
      </c>
      <c r="D465" s="104" t="s">
        <v>12</v>
      </c>
      <c r="E465" s="104" t="s">
        <v>32</v>
      </c>
      <c r="F465" s="51" t="e">
        <f>+VLOOKUP(C465,'[1]CRUCE RIESGOS'!$F$4:$G$281,2,FALSE)</f>
        <v>#N/A</v>
      </c>
    </row>
    <row r="466" spans="1:6" ht="42.75" x14ac:dyDescent="0.2">
      <c r="A466" s="98" t="s">
        <v>548</v>
      </c>
      <c r="B466" s="98" t="s">
        <v>191</v>
      </c>
      <c r="C466" s="50" t="s">
        <v>725</v>
      </c>
      <c r="D466" s="104" t="s">
        <v>9</v>
      </c>
      <c r="E466" s="104" t="s">
        <v>173</v>
      </c>
      <c r="F466" s="51" t="e">
        <f>+VLOOKUP(#REF!,'[1]CRUCE RIESGOS'!$F$4:$G$281,2,FALSE)</f>
        <v>#REF!</v>
      </c>
    </row>
    <row r="467" spans="1:6" ht="30" x14ac:dyDescent="0.2">
      <c r="A467" s="98" t="s">
        <v>548</v>
      </c>
      <c r="B467" s="98" t="s">
        <v>191</v>
      </c>
      <c r="C467" s="50" t="s">
        <v>560</v>
      </c>
      <c r="D467" s="104" t="s">
        <v>9</v>
      </c>
      <c r="E467" s="104" t="s">
        <v>15</v>
      </c>
      <c r="F467" s="51" t="e">
        <f>+VLOOKUP(C467,'[1]CRUCE RIESGOS'!$F$4:$G$281,2,FALSE)</f>
        <v>#N/A</v>
      </c>
    </row>
    <row r="468" spans="1:6" ht="36.75" customHeight="1" x14ac:dyDescent="0.2">
      <c r="A468" s="94" t="s">
        <v>548</v>
      </c>
      <c r="B468" s="98" t="s">
        <v>191</v>
      </c>
      <c r="C468" s="50" t="s">
        <v>726</v>
      </c>
      <c r="D468" s="104" t="s">
        <v>12</v>
      </c>
      <c r="E468" s="104" t="s">
        <v>1573</v>
      </c>
      <c r="F468" s="51" t="e">
        <f>+VLOOKUP(C468,'[1]CRUCE RIESGOS'!$F$4:$G$281,2,FALSE)</f>
        <v>#N/A</v>
      </c>
    </row>
    <row r="469" spans="1:6" ht="36.75" customHeight="1" x14ac:dyDescent="0.2">
      <c r="A469" s="94" t="s">
        <v>548</v>
      </c>
      <c r="B469" s="98" t="s">
        <v>191</v>
      </c>
      <c r="C469" s="50" t="s">
        <v>561</v>
      </c>
      <c r="D469" s="104" t="s">
        <v>1837</v>
      </c>
      <c r="E469" s="104" t="s">
        <v>52</v>
      </c>
      <c r="F469" s="51" t="e">
        <f>+VLOOKUP(C469,'[1]CRUCE RIESGOS'!$F$4:$G$281,2,FALSE)</f>
        <v>#N/A</v>
      </c>
    </row>
    <row r="470" spans="1:6" ht="30" x14ac:dyDescent="0.2">
      <c r="A470" s="94" t="s">
        <v>548</v>
      </c>
      <c r="B470" s="98" t="s">
        <v>191</v>
      </c>
      <c r="C470" s="50" t="s">
        <v>727</v>
      </c>
      <c r="D470" s="104" t="s">
        <v>1837</v>
      </c>
      <c r="E470" s="104" t="s">
        <v>487</v>
      </c>
      <c r="F470" s="51" t="e">
        <f>+VLOOKUP(C470,'[1]CRUCE RIESGOS'!$F$4:$G$281,2,FALSE)</f>
        <v>#N/A</v>
      </c>
    </row>
    <row r="471" spans="1:6" ht="30" x14ac:dyDescent="0.2">
      <c r="A471" s="94" t="s">
        <v>548</v>
      </c>
      <c r="B471" s="98" t="s">
        <v>191</v>
      </c>
      <c r="C471" s="50" t="s">
        <v>1885</v>
      </c>
      <c r="D471" s="104" t="s">
        <v>16</v>
      </c>
      <c r="E471" s="104" t="s">
        <v>144</v>
      </c>
      <c r="F471" s="51" t="e">
        <f>+VLOOKUP(C471,'[1]CRUCE RIESGOS'!$F$4:$G$281,2,FALSE)</f>
        <v>#N/A</v>
      </c>
    </row>
    <row r="472" spans="1:6" ht="30" x14ac:dyDescent="0.2">
      <c r="A472" s="94" t="s">
        <v>548</v>
      </c>
      <c r="B472" s="98" t="s">
        <v>191</v>
      </c>
      <c r="C472" s="85" t="s">
        <v>728</v>
      </c>
      <c r="D472" s="104" t="s">
        <v>59</v>
      </c>
      <c r="E472" s="104" t="s">
        <v>293</v>
      </c>
      <c r="F472" s="51" t="e">
        <f>+VLOOKUP(C472,'[1]CRUCE RIESGOS'!$F$4:$G$281,2,FALSE)</f>
        <v>#N/A</v>
      </c>
    </row>
    <row r="473" spans="1:6" ht="30" x14ac:dyDescent="0.2">
      <c r="A473" s="94" t="s">
        <v>548</v>
      </c>
      <c r="B473" s="98" t="s">
        <v>191</v>
      </c>
      <c r="C473" s="85" t="s">
        <v>729</v>
      </c>
      <c r="D473" s="104" t="s">
        <v>11</v>
      </c>
      <c r="E473" s="104" t="s">
        <v>1841</v>
      </c>
      <c r="F473" s="51" t="e">
        <f>+VLOOKUP(C473,'[1]CRUCE RIESGOS'!$F$4:$G$281,2,FALSE)</f>
        <v>#N/A</v>
      </c>
    </row>
    <row r="474" spans="1:6" ht="30" x14ac:dyDescent="0.2">
      <c r="A474" s="94" t="s">
        <v>548</v>
      </c>
      <c r="B474" s="98" t="s">
        <v>191</v>
      </c>
      <c r="C474" s="85" t="s">
        <v>730</v>
      </c>
      <c r="D474" s="104" t="s">
        <v>1837</v>
      </c>
      <c r="E474" s="104" t="s">
        <v>70</v>
      </c>
      <c r="F474" s="51" t="e">
        <f>+VLOOKUP(C474,'[1]CRUCE RIESGOS'!$F$4:$G$281,2,FALSE)</f>
        <v>#N/A</v>
      </c>
    </row>
    <row r="475" spans="1:6" ht="51" customHeight="1" x14ac:dyDescent="0.2">
      <c r="A475" s="94" t="s">
        <v>548</v>
      </c>
      <c r="B475" s="98" t="s">
        <v>191</v>
      </c>
      <c r="C475" s="85" t="s">
        <v>731</v>
      </c>
      <c r="D475" s="104" t="s">
        <v>1837</v>
      </c>
      <c r="E475" s="104" t="s">
        <v>52</v>
      </c>
      <c r="F475" s="51"/>
    </row>
    <row r="476" spans="1:6" ht="30" x14ac:dyDescent="0.2">
      <c r="A476" s="94" t="s">
        <v>548</v>
      </c>
      <c r="B476" s="98" t="s">
        <v>208</v>
      </c>
      <c r="C476" s="95" t="s">
        <v>734</v>
      </c>
      <c r="D476" s="104" t="s">
        <v>11</v>
      </c>
      <c r="E476" s="104" t="s">
        <v>45</v>
      </c>
      <c r="F476" s="51" t="e">
        <f>+VLOOKUP(C476,'[1]CRUCE RIESGOS'!$F$4:$G$281,2,FALSE)</f>
        <v>#N/A</v>
      </c>
    </row>
    <row r="477" spans="1:6" ht="30" x14ac:dyDescent="0.2">
      <c r="A477" s="94" t="s">
        <v>548</v>
      </c>
      <c r="B477" s="98" t="s">
        <v>208</v>
      </c>
      <c r="C477" s="95" t="s">
        <v>735</v>
      </c>
      <c r="D477" s="104" t="s">
        <v>9</v>
      </c>
      <c r="E477" s="104" t="s">
        <v>10</v>
      </c>
      <c r="F477" s="51" t="e">
        <f>+VLOOKUP(C477,'[1]CRUCE RIESGOS'!$F$4:$G$281,2,FALSE)</f>
        <v>#N/A</v>
      </c>
    </row>
    <row r="478" spans="1:6" ht="30" x14ac:dyDescent="0.2">
      <c r="A478" s="94" t="s">
        <v>548</v>
      </c>
      <c r="B478" s="98" t="s">
        <v>208</v>
      </c>
      <c r="C478" s="95" t="s">
        <v>736</v>
      </c>
      <c r="D478" s="104" t="s">
        <v>59</v>
      </c>
      <c r="E478" s="104" t="s">
        <v>293</v>
      </c>
      <c r="F478" s="51" t="e">
        <f>+VLOOKUP(C478,'[1]CRUCE RIESGOS'!$F$4:$G$281,2,FALSE)</f>
        <v>#N/A</v>
      </c>
    </row>
    <row r="479" spans="1:6" ht="30" x14ac:dyDescent="0.2">
      <c r="A479" s="94" t="s">
        <v>548</v>
      </c>
      <c r="B479" s="98" t="s">
        <v>208</v>
      </c>
      <c r="C479" s="95" t="s">
        <v>737</v>
      </c>
      <c r="D479" s="104" t="s">
        <v>1837</v>
      </c>
      <c r="E479" s="104" t="s">
        <v>62</v>
      </c>
      <c r="F479" s="51" t="e">
        <f>+VLOOKUP(C479,'[1]CRUCE RIESGOS'!$F$4:$G$281,2,FALSE)</f>
        <v>#N/A</v>
      </c>
    </row>
    <row r="480" spans="1:6" ht="30" x14ac:dyDescent="0.2">
      <c r="A480" s="94" t="s">
        <v>548</v>
      </c>
      <c r="B480" s="98" t="s">
        <v>208</v>
      </c>
      <c r="C480" s="95" t="s">
        <v>738</v>
      </c>
      <c r="D480" s="104" t="s">
        <v>11</v>
      </c>
      <c r="E480" s="104" t="s">
        <v>172</v>
      </c>
      <c r="F480" s="51" t="e">
        <f>+VLOOKUP(C480,'[1]CRUCE RIESGOS'!$F$4:$G$281,2,FALSE)</f>
        <v>#N/A</v>
      </c>
    </row>
    <row r="481" spans="1:6" ht="30" x14ac:dyDescent="0.2">
      <c r="A481" s="94" t="s">
        <v>548</v>
      </c>
      <c r="B481" s="98" t="s">
        <v>208</v>
      </c>
      <c r="C481" s="95" t="s">
        <v>739</v>
      </c>
      <c r="D481" s="104" t="s">
        <v>1837</v>
      </c>
      <c r="E481" s="104" t="s">
        <v>52</v>
      </c>
      <c r="F481" s="51" t="e">
        <f>+VLOOKUP(C481,'[1]CRUCE RIESGOS'!$F$4:$G$281,2,FALSE)</f>
        <v>#N/A</v>
      </c>
    </row>
    <row r="482" spans="1:6" ht="30" x14ac:dyDescent="0.2">
      <c r="A482" s="94" t="s">
        <v>548</v>
      </c>
      <c r="B482" s="98" t="s">
        <v>208</v>
      </c>
      <c r="C482" s="95" t="s">
        <v>740</v>
      </c>
      <c r="D482" s="104" t="s">
        <v>9</v>
      </c>
      <c r="E482" s="104" t="s">
        <v>10</v>
      </c>
      <c r="F482" s="51" t="e">
        <f>+VLOOKUP(C482,'[1]CRUCE RIESGOS'!$F$4:$G$281,2,FALSE)</f>
        <v>#N/A</v>
      </c>
    </row>
    <row r="483" spans="1:6" ht="30" x14ac:dyDescent="0.2">
      <c r="A483" s="94" t="s">
        <v>548</v>
      </c>
      <c r="B483" s="98" t="s">
        <v>208</v>
      </c>
      <c r="C483" s="95" t="s">
        <v>741</v>
      </c>
      <c r="D483" s="104" t="s">
        <v>11</v>
      </c>
      <c r="E483" s="104" t="s">
        <v>45</v>
      </c>
      <c r="F483" s="51" t="e">
        <f>+VLOOKUP(C483,'[1]CRUCE RIESGOS'!$F$4:$G$281,2,FALSE)</f>
        <v>#N/A</v>
      </c>
    </row>
    <row r="484" spans="1:6" ht="30" x14ac:dyDescent="0.2">
      <c r="A484" s="94" t="s">
        <v>548</v>
      </c>
      <c r="B484" s="98" t="s">
        <v>208</v>
      </c>
      <c r="C484" s="95" t="s">
        <v>742</v>
      </c>
      <c r="D484" s="104" t="s">
        <v>9</v>
      </c>
      <c r="E484" s="104" t="s">
        <v>15</v>
      </c>
      <c r="F484" s="51" t="e">
        <f>+VLOOKUP(C484,'[1]CRUCE RIESGOS'!$F$4:$G$281,2,FALSE)</f>
        <v>#N/A</v>
      </c>
    </row>
    <row r="485" spans="1:6" ht="42.75" x14ac:dyDescent="0.2">
      <c r="A485" s="94" t="s">
        <v>548</v>
      </c>
      <c r="B485" s="98" t="s">
        <v>208</v>
      </c>
      <c r="C485" s="95" t="s">
        <v>743</v>
      </c>
      <c r="D485" s="104" t="s">
        <v>12</v>
      </c>
      <c r="E485" s="104" t="s">
        <v>32</v>
      </c>
      <c r="F485" s="51" t="e">
        <f>+VLOOKUP(C485,'[1]CRUCE RIESGOS'!$F$4:$G$281,2,FALSE)</f>
        <v>#N/A</v>
      </c>
    </row>
    <row r="486" spans="1:6" ht="30" x14ac:dyDescent="0.2">
      <c r="A486" s="94" t="s">
        <v>548</v>
      </c>
      <c r="B486" s="98" t="s">
        <v>208</v>
      </c>
      <c r="C486" s="95" t="s">
        <v>744</v>
      </c>
      <c r="D486" s="104" t="s">
        <v>1837</v>
      </c>
      <c r="E486" s="104" t="s">
        <v>138</v>
      </c>
      <c r="F486" s="51" t="e">
        <f>+VLOOKUP(C486,'[1]CRUCE RIESGOS'!$F$4:$G$281,2,FALSE)</f>
        <v>#N/A</v>
      </c>
    </row>
    <row r="487" spans="1:6" ht="30" x14ac:dyDescent="0.2">
      <c r="A487" s="94" t="s">
        <v>548</v>
      </c>
      <c r="B487" s="98" t="s">
        <v>208</v>
      </c>
      <c r="C487" s="95" t="s">
        <v>745</v>
      </c>
      <c r="D487" s="104" t="s">
        <v>1837</v>
      </c>
      <c r="E487" s="104" t="s">
        <v>52</v>
      </c>
      <c r="F487" s="51" t="e">
        <f>+VLOOKUP(C487,'[1]CRUCE RIESGOS'!$F$4:$G$281,2,FALSE)</f>
        <v>#N/A</v>
      </c>
    </row>
    <row r="488" spans="1:6" ht="30" x14ac:dyDescent="0.2">
      <c r="A488" s="94" t="s">
        <v>548</v>
      </c>
      <c r="B488" s="98" t="s">
        <v>208</v>
      </c>
      <c r="C488" s="95" t="s">
        <v>746</v>
      </c>
      <c r="D488" s="104" t="s">
        <v>9</v>
      </c>
      <c r="E488" s="104" t="s">
        <v>145</v>
      </c>
      <c r="F488" s="51" t="e">
        <f>+VLOOKUP(C488,'[1]CRUCE RIESGOS'!$F$4:$G$281,2,FALSE)</f>
        <v>#N/A</v>
      </c>
    </row>
    <row r="489" spans="1:6" ht="30" x14ac:dyDescent="0.2">
      <c r="A489" s="94" t="s">
        <v>548</v>
      </c>
      <c r="B489" s="98" t="s">
        <v>208</v>
      </c>
      <c r="C489" s="95" t="s">
        <v>747</v>
      </c>
      <c r="D489" s="104" t="s">
        <v>1837</v>
      </c>
      <c r="E489" s="104" t="s">
        <v>71</v>
      </c>
      <c r="F489" s="51" t="e">
        <f>+VLOOKUP(C489,'[1]CRUCE RIESGOS'!$F$4:$G$281,2,FALSE)</f>
        <v>#N/A</v>
      </c>
    </row>
    <row r="490" spans="1:6" ht="30" x14ac:dyDescent="0.2">
      <c r="A490" s="94" t="s">
        <v>548</v>
      </c>
      <c r="B490" s="98" t="s">
        <v>208</v>
      </c>
      <c r="C490" s="95" t="s">
        <v>748</v>
      </c>
      <c r="D490" s="104" t="s">
        <v>9</v>
      </c>
      <c r="E490" s="104" t="s">
        <v>26</v>
      </c>
      <c r="F490" s="51" t="e">
        <f>+VLOOKUP(C490,'[1]CRUCE RIESGOS'!$F$4:$G$281,2,FALSE)</f>
        <v>#N/A</v>
      </c>
    </row>
    <row r="491" spans="1:6" ht="60" x14ac:dyDescent="0.2">
      <c r="A491" s="94" t="s">
        <v>548</v>
      </c>
      <c r="B491" s="98" t="s">
        <v>237</v>
      </c>
      <c r="C491" s="50" t="s">
        <v>758</v>
      </c>
      <c r="D491" s="104" t="s">
        <v>11</v>
      </c>
      <c r="E491" s="104" t="s">
        <v>1884</v>
      </c>
      <c r="F491" s="51" t="e">
        <f>+VLOOKUP(C491,'[1]CRUCE RIESGOS'!$F$4:$G$281,2,FALSE)</f>
        <v>#N/A</v>
      </c>
    </row>
    <row r="492" spans="1:6" ht="60" x14ac:dyDescent="0.2">
      <c r="A492" s="94" t="s">
        <v>548</v>
      </c>
      <c r="B492" s="98" t="s">
        <v>237</v>
      </c>
      <c r="C492" s="50" t="s">
        <v>766</v>
      </c>
      <c r="D492" s="104" t="s">
        <v>1837</v>
      </c>
      <c r="E492" s="104" t="s">
        <v>563</v>
      </c>
      <c r="F492" s="51" t="e">
        <f>+VLOOKUP(C492,'[1]CRUCE RIESGOS'!$F$4:$G$281,2,FALSE)</f>
        <v>#N/A</v>
      </c>
    </row>
    <row r="493" spans="1:6" ht="60" x14ac:dyDescent="0.2">
      <c r="A493" s="94" t="s">
        <v>548</v>
      </c>
      <c r="B493" s="98" t="s">
        <v>237</v>
      </c>
      <c r="C493" s="50" t="s">
        <v>767</v>
      </c>
      <c r="D493" s="104" t="s">
        <v>11</v>
      </c>
      <c r="E493" s="104" t="s">
        <v>172</v>
      </c>
      <c r="F493" s="51" t="e">
        <f>+VLOOKUP(C493,'[1]CRUCE RIESGOS'!$F$4:$G$281,2,FALSE)</f>
        <v>#N/A</v>
      </c>
    </row>
    <row r="494" spans="1:6" ht="60" x14ac:dyDescent="0.2">
      <c r="A494" s="94" t="s">
        <v>548</v>
      </c>
      <c r="B494" s="98" t="s">
        <v>237</v>
      </c>
      <c r="C494" s="50" t="s">
        <v>768</v>
      </c>
      <c r="D494" s="104" t="s">
        <v>9</v>
      </c>
      <c r="E494" s="104" t="s">
        <v>10</v>
      </c>
      <c r="F494" s="51" t="e">
        <f>+VLOOKUP(C494,'[1]CRUCE RIESGOS'!$F$4:$G$281,2,FALSE)</f>
        <v>#N/A</v>
      </c>
    </row>
    <row r="495" spans="1:6" ht="60" x14ac:dyDescent="0.2">
      <c r="A495" s="94" t="s">
        <v>548</v>
      </c>
      <c r="B495" s="98" t="s">
        <v>237</v>
      </c>
      <c r="C495" s="50" t="s">
        <v>769</v>
      </c>
      <c r="D495" s="104" t="s">
        <v>11</v>
      </c>
      <c r="E495" s="104" t="s">
        <v>172</v>
      </c>
      <c r="F495" s="51" t="e">
        <f>+VLOOKUP(C495,'[1]CRUCE RIESGOS'!$F$4:$G$281,2,FALSE)</f>
        <v>#N/A</v>
      </c>
    </row>
    <row r="496" spans="1:6" ht="60" x14ac:dyDescent="0.2">
      <c r="A496" s="94" t="s">
        <v>548</v>
      </c>
      <c r="B496" s="98" t="s">
        <v>237</v>
      </c>
      <c r="C496" s="50" t="s">
        <v>770</v>
      </c>
      <c r="D496" s="104" t="s">
        <v>11</v>
      </c>
      <c r="E496" s="104" t="s">
        <v>142</v>
      </c>
      <c r="F496" s="51" t="e">
        <f>+VLOOKUP(C496,'[1]CRUCE RIESGOS'!$F$4:$G$281,2,FALSE)</f>
        <v>#N/A</v>
      </c>
    </row>
    <row r="497" spans="1:6" ht="60" x14ac:dyDescent="0.2">
      <c r="A497" s="94" t="s">
        <v>548</v>
      </c>
      <c r="B497" s="98" t="s">
        <v>237</v>
      </c>
      <c r="C497" s="50" t="s">
        <v>771</v>
      </c>
      <c r="D497" s="104" t="s">
        <v>42</v>
      </c>
      <c r="E497" s="104" t="s">
        <v>143</v>
      </c>
      <c r="F497" s="51" t="e">
        <f>+VLOOKUP(C497,'[1]CRUCE RIESGOS'!$F$4:$G$281,2,FALSE)</f>
        <v>#N/A</v>
      </c>
    </row>
    <row r="498" spans="1:6" ht="60" x14ac:dyDescent="0.2">
      <c r="A498" s="94" t="s">
        <v>548</v>
      </c>
      <c r="B498" s="98" t="s">
        <v>237</v>
      </c>
      <c r="C498" s="50" t="s">
        <v>772</v>
      </c>
      <c r="D498" s="104" t="s">
        <v>9</v>
      </c>
      <c r="E498" s="104" t="s">
        <v>173</v>
      </c>
      <c r="F498" s="51" t="e">
        <f>+VLOOKUP(C498,'[1]CRUCE RIESGOS'!$F$4:$G$281,2,FALSE)</f>
        <v>#N/A</v>
      </c>
    </row>
    <row r="499" spans="1:6" ht="60" x14ac:dyDescent="0.2">
      <c r="A499" s="94" t="s">
        <v>548</v>
      </c>
      <c r="B499" s="98" t="s">
        <v>237</v>
      </c>
      <c r="C499" s="50" t="s">
        <v>773</v>
      </c>
      <c r="D499" s="104" t="s">
        <v>9</v>
      </c>
      <c r="E499" s="104" t="s">
        <v>15</v>
      </c>
      <c r="F499" s="51" t="e">
        <f>+VLOOKUP(C499,'[1]CRUCE RIESGOS'!$F$4:$G$281,2,FALSE)</f>
        <v>#N/A</v>
      </c>
    </row>
    <row r="500" spans="1:6" ht="60" x14ac:dyDescent="0.2">
      <c r="A500" s="94" t="s">
        <v>548</v>
      </c>
      <c r="B500" s="98" t="s">
        <v>237</v>
      </c>
      <c r="C500" s="50" t="s">
        <v>774</v>
      </c>
      <c r="D500" s="104" t="s">
        <v>9</v>
      </c>
      <c r="E500" s="104" t="s">
        <v>15</v>
      </c>
      <c r="F500" s="51" t="e">
        <f>+VLOOKUP(C500,'[1]CRUCE RIESGOS'!$F$4:$G$281,2,FALSE)</f>
        <v>#N/A</v>
      </c>
    </row>
    <row r="501" spans="1:6" ht="60" x14ac:dyDescent="0.2">
      <c r="A501" s="94" t="s">
        <v>548</v>
      </c>
      <c r="B501" s="98" t="s">
        <v>237</v>
      </c>
      <c r="C501" s="50" t="s">
        <v>759</v>
      </c>
      <c r="D501" s="104" t="s">
        <v>12</v>
      </c>
      <c r="E501" s="104" t="s">
        <v>714</v>
      </c>
      <c r="F501" s="51" t="e">
        <f>+VLOOKUP(C501,'[1]CRUCE RIESGOS'!$F$4:$G$281,2,FALSE)</f>
        <v>#N/A</v>
      </c>
    </row>
    <row r="502" spans="1:6" ht="60" x14ac:dyDescent="0.2">
      <c r="A502" s="94" t="s">
        <v>548</v>
      </c>
      <c r="B502" s="98" t="s">
        <v>237</v>
      </c>
      <c r="C502" s="50" t="s">
        <v>760</v>
      </c>
      <c r="D502" s="104" t="s">
        <v>1837</v>
      </c>
      <c r="E502" s="104" t="s">
        <v>56</v>
      </c>
      <c r="F502" s="51" t="e">
        <f>+VLOOKUP(C502,'[1]CRUCE RIESGOS'!$F$4:$G$281,2,FALSE)</f>
        <v>#N/A</v>
      </c>
    </row>
    <row r="503" spans="1:6" ht="60" x14ac:dyDescent="0.2">
      <c r="A503" s="94" t="s">
        <v>548</v>
      </c>
      <c r="B503" s="98" t="s">
        <v>237</v>
      </c>
      <c r="C503" s="50" t="s">
        <v>761</v>
      </c>
      <c r="D503" s="104" t="s">
        <v>1837</v>
      </c>
      <c r="E503" s="104" t="s">
        <v>52</v>
      </c>
      <c r="F503" s="51" t="e">
        <f>+VLOOKUP(C503,'[1]CRUCE RIESGOS'!$F$4:$G$281,2,FALSE)</f>
        <v>#N/A</v>
      </c>
    </row>
    <row r="504" spans="1:6" ht="60" x14ac:dyDescent="0.2">
      <c r="A504" s="94" t="s">
        <v>548</v>
      </c>
      <c r="B504" s="98" t="s">
        <v>237</v>
      </c>
      <c r="C504" s="50" t="s">
        <v>762</v>
      </c>
      <c r="D504" s="104" t="s">
        <v>1837</v>
      </c>
      <c r="E504" s="104" t="s">
        <v>487</v>
      </c>
      <c r="F504" s="51" t="e">
        <f>+VLOOKUP(C504,'[1]CRUCE RIESGOS'!$F$4:$G$281,2,FALSE)</f>
        <v>#N/A</v>
      </c>
    </row>
    <row r="505" spans="1:6" ht="60" x14ac:dyDescent="0.2">
      <c r="A505" s="94" t="s">
        <v>548</v>
      </c>
      <c r="B505" s="98" t="s">
        <v>237</v>
      </c>
      <c r="C505" s="50" t="s">
        <v>763</v>
      </c>
      <c r="D505" s="104" t="s">
        <v>16</v>
      </c>
      <c r="E505" s="104" t="s">
        <v>144</v>
      </c>
      <c r="F505" s="51" t="e">
        <f>+VLOOKUP(C505,'[1]CRUCE RIESGOS'!$F$4:$G$281,2,FALSE)</f>
        <v>#N/A</v>
      </c>
    </row>
    <row r="506" spans="1:6" ht="60" x14ac:dyDescent="0.2">
      <c r="A506" s="94" t="s">
        <v>548</v>
      </c>
      <c r="B506" s="98" t="s">
        <v>237</v>
      </c>
      <c r="C506" s="50" t="s">
        <v>764</v>
      </c>
      <c r="D506" s="104" t="s">
        <v>11</v>
      </c>
      <c r="E506" s="104" t="s">
        <v>142</v>
      </c>
      <c r="F506" s="51" t="e">
        <f>+VLOOKUP(C506,'[1]CRUCE RIESGOS'!$F$4:$G$281,2,FALSE)</f>
        <v>#N/A</v>
      </c>
    </row>
    <row r="507" spans="1:6" ht="60" x14ac:dyDescent="0.2">
      <c r="A507" s="94" t="s">
        <v>548</v>
      </c>
      <c r="B507" s="98" t="s">
        <v>237</v>
      </c>
      <c r="C507" s="50" t="s">
        <v>765</v>
      </c>
      <c r="D507" s="104" t="s">
        <v>11</v>
      </c>
      <c r="E507" s="104" t="s">
        <v>172</v>
      </c>
      <c r="F507" s="51" t="e">
        <f>+VLOOKUP(C507,'[1]CRUCE RIESGOS'!$F$4:$G$281,2,FALSE)</f>
        <v>#N/A</v>
      </c>
    </row>
    <row r="508" spans="1:6" ht="60" x14ac:dyDescent="0.2">
      <c r="A508" s="94" t="s">
        <v>548</v>
      </c>
      <c r="B508" s="98" t="s">
        <v>237</v>
      </c>
      <c r="C508" s="85" t="s">
        <v>775</v>
      </c>
      <c r="D508" s="104" t="s">
        <v>16</v>
      </c>
      <c r="E508" s="104" t="s">
        <v>17</v>
      </c>
      <c r="F508" s="51" t="e">
        <f>+VLOOKUP(C508,'[1]CRUCE RIESGOS'!$F$4:$G$281,2,FALSE)</f>
        <v>#N/A</v>
      </c>
    </row>
    <row r="509" spans="1:6" ht="60" x14ac:dyDescent="0.2">
      <c r="A509" s="94" t="s">
        <v>548</v>
      </c>
      <c r="B509" s="98" t="s">
        <v>237</v>
      </c>
      <c r="C509" s="85" t="s">
        <v>776</v>
      </c>
      <c r="D509" s="104" t="s">
        <v>12</v>
      </c>
      <c r="E509" s="104" t="s">
        <v>13</v>
      </c>
      <c r="F509" s="51" t="e">
        <f>+VLOOKUP(C509,'[1]CRUCE RIESGOS'!$F$4:$G$281,2,FALSE)</f>
        <v>#N/A</v>
      </c>
    </row>
    <row r="510" spans="1:6" ht="60" x14ac:dyDescent="0.2">
      <c r="A510" s="94" t="s">
        <v>548</v>
      </c>
      <c r="B510" s="98" t="s">
        <v>237</v>
      </c>
      <c r="C510" s="85" t="s">
        <v>777</v>
      </c>
      <c r="D510" s="104" t="s">
        <v>9</v>
      </c>
      <c r="E510" s="104" t="s">
        <v>173</v>
      </c>
      <c r="F510" s="51" t="e">
        <f>+VLOOKUP(C510,'[1]CRUCE RIESGOS'!$F$4:$G$281,2,FALSE)</f>
        <v>#N/A</v>
      </c>
    </row>
    <row r="511" spans="1:6" ht="60" x14ac:dyDescent="0.2">
      <c r="A511" s="94" t="s">
        <v>548</v>
      </c>
      <c r="B511" s="98" t="s">
        <v>237</v>
      </c>
      <c r="C511" s="85" t="s">
        <v>778</v>
      </c>
      <c r="D511" s="104" t="s">
        <v>1837</v>
      </c>
      <c r="E511" s="104" t="s">
        <v>138</v>
      </c>
      <c r="F511" s="51" t="e">
        <f>+VLOOKUP(C511,'[1]CRUCE RIESGOS'!$F$4:$G$281,2,FALSE)</f>
        <v>#N/A</v>
      </c>
    </row>
    <row r="512" spans="1:6" ht="60" x14ac:dyDescent="0.2">
      <c r="A512" s="94" t="s">
        <v>548</v>
      </c>
      <c r="B512" s="98" t="s">
        <v>237</v>
      </c>
      <c r="C512" s="85" t="s">
        <v>779</v>
      </c>
      <c r="D512" s="104" t="s">
        <v>59</v>
      </c>
      <c r="E512" s="104" t="s">
        <v>293</v>
      </c>
      <c r="F512" s="51" t="e">
        <f>+VLOOKUP(C512,'[1]CRUCE RIESGOS'!$F$4:$G$281,2,FALSE)</f>
        <v>#N/A</v>
      </c>
    </row>
    <row r="513" spans="1:6" ht="60" x14ac:dyDescent="0.2">
      <c r="A513" s="94" t="s">
        <v>548</v>
      </c>
      <c r="B513" s="98" t="s">
        <v>237</v>
      </c>
      <c r="C513" s="85" t="s">
        <v>1886</v>
      </c>
      <c r="D513" s="104" t="s">
        <v>11</v>
      </c>
      <c r="E513" s="104" t="s">
        <v>1841</v>
      </c>
      <c r="F513" s="51" t="e">
        <f>+VLOOKUP(C513,'[1]CRUCE RIESGOS'!$F$4:$G$281,2,FALSE)</f>
        <v>#N/A</v>
      </c>
    </row>
    <row r="514" spans="1:6" ht="30" x14ac:dyDescent="0.2">
      <c r="A514" s="94" t="s">
        <v>548</v>
      </c>
      <c r="B514" s="98" t="s">
        <v>246</v>
      </c>
      <c r="C514" s="50" t="s">
        <v>782</v>
      </c>
      <c r="D514" s="104" t="s">
        <v>1837</v>
      </c>
      <c r="E514" s="104" t="s">
        <v>56</v>
      </c>
      <c r="F514" s="51" t="e">
        <f>+VLOOKUP(C514,'[1]CRUCE RIESGOS'!$F$4:$G$281,2,FALSE)</f>
        <v>#N/A</v>
      </c>
    </row>
    <row r="515" spans="1:6" ht="30" x14ac:dyDescent="0.2">
      <c r="A515" s="94" t="s">
        <v>548</v>
      </c>
      <c r="B515" s="98" t="s">
        <v>246</v>
      </c>
      <c r="C515" s="50" t="s">
        <v>786</v>
      </c>
      <c r="D515" s="104" t="s">
        <v>9</v>
      </c>
      <c r="E515" s="104" t="s">
        <v>10</v>
      </c>
      <c r="F515" s="51" t="e">
        <f>+VLOOKUP(C515,'[1]CRUCE RIESGOS'!$F$4:$G$281,2,FALSE)</f>
        <v>#N/A</v>
      </c>
    </row>
    <row r="516" spans="1:6" ht="30" x14ac:dyDescent="0.2">
      <c r="A516" s="94" t="s">
        <v>548</v>
      </c>
      <c r="B516" s="98" t="s">
        <v>246</v>
      </c>
      <c r="C516" s="50" t="s">
        <v>787</v>
      </c>
      <c r="D516" s="104" t="s">
        <v>1837</v>
      </c>
      <c r="E516" s="104" t="s">
        <v>56</v>
      </c>
      <c r="F516" s="51" t="e">
        <f>+VLOOKUP(C516,'[1]CRUCE RIESGOS'!$F$4:$G$281,2,FALSE)</f>
        <v>#N/A</v>
      </c>
    </row>
    <row r="517" spans="1:6" ht="30" x14ac:dyDescent="0.2">
      <c r="A517" s="94" t="s">
        <v>548</v>
      </c>
      <c r="B517" s="98" t="s">
        <v>246</v>
      </c>
      <c r="C517" s="50" t="s">
        <v>788</v>
      </c>
      <c r="D517" s="104" t="s">
        <v>9</v>
      </c>
      <c r="E517" s="104" t="s">
        <v>18</v>
      </c>
      <c r="F517" s="51" t="e">
        <f>+VLOOKUP(C517,'[1]CRUCE RIESGOS'!$F$4:$G$281,2,FALSE)</f>
        <v>#N/A</v>
      </c>
    </row>
    <row r="518" spans="1:6" ht="30" x14ac:dyDescent="0.2">
      <c r="A518" s="94" t="s">
        <v>548</v>
      </c>
      <c r="B518" s="98" t="s">
        <v>246</v>
      </c>
      <c r="C518" s="50" t="s">
        <v>789</v>
      </c>
      <c r="D518" s="104" t="s">
        <v>11</v>
      </c>
      <c r="E518" s="104" t="s">
        <v>1841</v>
      </c>
      <c r="F518" s="51" t="e">
        <f>+VLOOKUP(C518,'[1]CRUCE RIESGOS'!$F$4:$G$281,2,FALSE)</f>
        <v>#N/A</v>
      </c>
    </row>
    <row r="519" spans="1:6" ht="30" x14ac:dyDescent="0.2">
      <c r="A519" s="94" t="s">
        <v>548</v>
      </c>
      <c r="B519" s="98" t="s">
        <v>246</v>
      </c>
      <c r="C519" s="50" t="s">
        <v>790</v>
      </c>
      <c r="D519" s="104" t="s">
        <v>42</v>
      </c>
      <c r="E519" s="104" t="s">
        <v>143</v>
      </c>
      <c r="F519" s="51" t="e">
        <f>+VLOOKUP(C519,'[1]CRUCE RIESGOS'!$F$4:$G$281,2,FALSE)</f>
        <v>#N/A</v>
      </c>
    </row>
    <row r="520" spans="1:6" ht="42.75" x14ac:dyDescent="0.2">
      <c r="A520" s="94" t="s">
        <v>548</v>
      </c>
      <c r="B520" s="98" t="s">
        <v>246</v>
      </c>
      <c r="C520" s="50" t="s">
        <v>791</v>
      </c>
      <c r="D520" s="104" t="s">
        <v>12</v>
      </c>
      <c r="E520" s="104" t="s">
        <v>714</v>
      </c>
      <c r="F520" s="51" t="e">
        <f>+VLOOKUP(C520,'[1]CRUCE RIESGOS'!$F$4:$G$281,2,FALSE)</f>
        <v>#N/A</v>
      </c>
    </row>
    <row r="521" spans="1:6" ht="30" x14ac:dyDescent="0.2">
      <c r="A521" s="94" t="s">
        <v>548</v>
      </c>
      <c r="B521" s="98" t="s">
        <v>246</v>
      </c>
      <c r="C521" s="50" t="s">
        <v>792</v>
      </c>
      <c r="D521" s="104" t="s">
        <v>59</v>
      </c>
      <c r="E521" s="104" t="s">
        <v>293</v>
      </c>
      <c r="F521" s="51" t="e">
        <f>+VLOOKUP(C521,'[1]CRUCE RIESGOS'!$F$4:$G$281,2,FALSE)</f>
        <v>#N/A</v>
      </c>
    </row>
    <row r="522" spans="1:6" ht="30" x14ac:dyDescent="0.2">
      <c r="A522" s="94" t="s">
        <v>548</v>
      </c>
      <c r="B522" s="98" t="s">
        <v>246</v>
      </c>
      <c r="C522" s="85" t="s">
        <v>793</v>
      </c>
      <c r="D522" s="104" t="s">
        <v>16</v>
      </c>
      <c r="E522" s="104" t="s">
        <v>144</v>
      </c>
      <c r="F522" s="51" t="e">
        <f>+VLOOKUP(C522,'[1]CRUCE RIESGOS'!$F$4:$G$281,2,FALSE)</f>
        <v>#N/A</v>
      </c>
    </row>
    <row r="523" spans="1:6" ht="42.75" x14ac:dyDescent="0.2">
      <c r="A523" s="94" t="s">
        <v>548</v>
      </c>
      <c r="B523" s="98" t="s">
        <v>246</v>
      </c>
      <c r="C523" s="85" t="s">
        <v>783</v>
      </c>
      <c r="D523" s="104" t="s">
        <v>12</v>
      </c>
      <c r="E523" s="104" t="s">
        <v>714</v>
      </c>
      <c r="F523" s="51" t="e">
        <f>+VLOOKUP(C523,'[1]CRUCE RIESGOS'!$F$4:$G$281,2,FALSE)</f>
        <v>#N/A</v>
      </c>
    </row>
    <row r="524" spans="1:6" ht="30" x14ac:dyDescent="0.2">
      <c r="A524" s="94" t="s">
        <v>548</v>
      </c>
      <c r="B524" s="98" t="s">
        <v>246</v>
      </c>
      <c r="C524" s="85" t="s">
        <v>784</v>
      </c>
      <c r="D524" s="104" t="s">
        <v>1837</v>
      </c>
      <c r="E524" s="104" t="s">
        <v>563</v>
      </c>
      <c r="F524" s="51" t="e">
        <f>+VLOOKUP(C524,'[1]CRUCE RIESGOS'!$F$4:$G$281,2,FALSE)</f>
        <v>#N/A</v>
      </c>
    </row>
    <row r="525" spans="1:6" ht="30" x14ac:dyDescent="0.2">
      <c r="A525" s="94" t="s">
        <v>548</v>
      </c>
      <c r="B525" s="98" t="s">
        <v>246</v>
      </c>
      <c r="C525" s="85" t="s">
        <v>785</v>
      </c>
      <c r="D525" s="104" t="s">
        <v>16</v>
      </c>
      <c r="E525" s="104" t="s">
        <v>106</v>
      </c>
      <c r="F525" s="51" t="e">
        <f>+VLOOKUP(C525,'[1]CRUCE RIESGOS'!$F$4:$G$281,2,FALSE)</f>
        <v>#N/A</v>
      </c>
    </row>
    <row r="526" spans="1:6" ht="33.75" customHeight="1" x14ac:dyDescent="0.2">
      <c r="A526" s="94" t="s">
        <v>548</v>
      </c>
      <c r="B526" s="98" t="s">
        <v>246</v>
      </c>
      <c r="C526" s="85" t="s">
        <v>794</v>
      </c>
      <c r="D526" s="104" t="s">
        <v>9</v>
      </c>
      <c r="E526" s="104" t="s">
        <v>18</v>
      </c>
      <c r="F526" s="51" t="e">
        <f>+VLOOKUP(C526,'[1]CRUCE RIESGOS'!$F$4:$G$281,2,FALSE)</f>
        <v>#N/A</v>
      </c>
    </row>
    <row r="527" spans="1:6" ht="30" x14ac:dyDescent="0.2">
      <c r="A527" s="94" t="s">
        <v>548</v>
      </c>
      <c r="B527" s="98" t="s">
        <v>246</v>
      </c>
      <c r="C527" s="85" t="s">
        <v>795</v>
      </c>
      <c r="D527" s="104" t="s">
        <v>1837</v>
      </c>
      <c r="E527" s="104" t="s">
        <v>138</v>
      </c>
      <c r="F527" s="51" t="e">
        <f>+VLOOKUP(C527,'[1]CRUCE RIESGOS'!$F$4:$G$281,2,FALSE)</f>
        <v>#N/A</v>
      </c>
    </row>
    <row r="528" spans="1:6" ht="42.75" x14ac:dyDescent="0.2">
      <c r="A528" s="94" t="s">
        <v>548</v>
      </c>
      <c r="B528" s="98" t="s">
        <v>246</v>
      </c>
      <c r="C528" s="85" t="s">
        <v>796</v>
      </c>
      <c r="D528" s="104" t="s">
        <v>12</v>
      </c>
      <c r="E528" s="104" t="s">
        <v>1573</v>
      </c>
      <c r="F528" s="51" t="e">
        <f>+VLOOKUP(C528,'[1]CRUCE RIESGOS'!$F$4:$G$281,2,FALSE)</f>
        <v>#N/A</v>
      </c>
    </row>
    <row r="529" spans="1:6" ht="42.75" x14ac:dyDescent="0.2">
      <c r="A529" s="94" t="s">
        <v>548</v>
      </c>
      <c r="B529" s="98" t="s">
        <v>170</v>
      </c>
      <c r="C529" s="112" t="s">
        <v>799</v>
      </c>
      <c r="D529" s="104" t="s">
        <v>11</v>
      </c>
      <c r="E529" s="104" t="s">
        <v>45</v>
      </c>
      <c r="F529" s="51" t="e">
        <f>+VLOOKUP(C529,'[1]CRUCE RIESGOS'!$F$4:$G$281,2,FALSE)</f>
        <v>#N/A</v>
      </c>
    </row>
    <row r="530" spans="1:6" ht="42.75" x14ac:dyDescent="0.2">
      <c r="A530" s="94" t="s">
        <v>548</v>
      </c>
      <c r="B530" s="98" t="s">
        <v>170</v>
      </c>
      <c r="C530" s="112" t="s">
        <v>1887</v>
      </c>
      <c r="D530" s="104" t="s">
        <v>1837</v>
      </c>
      <c r="E530" s="104" t="s">
        <v>563</v>
      </c>
      <c r="F530" s="51" t="e">
        <f>+VLOOKUP(C530,'[1]CRUCE RIESGOS'!$F$4:$G$281,2,FALSE)</f>
        <v>#N/A</v>
      </c>
    </row>
    <row r="531" spans="1:6" ht="30" x14ac:dyDescent="0.2">
      <c r="A531" s="94" t="s">
        <v>548</v>
      </c>
      <c r="B531" s="98" t="s">
        <v>170</v>
      </c>
      <c r="C531" s="112" t="s">
        <v>798</v>
      </c>
      <c r="D531" s="104" t="s">
        <v>11</v>
      </c>
      <c r="E531" s="104" t="s">
        <v>172</v>
      </c>
      <c r="F531" s="51" t="e">
        <f>+VLOOKUP(C531,'[1]CRUCE RIESGOS'!$F$4:$G$281,2,FALSE)</f>
        <v>#N/A</v>
      </c>
    </row>
    <row r="532" spans="1:6" ht="42.75" x14ac:dyDescent="0.2">
      <c r="A532" s="94" t="s">
        <v>548</v>
      </c>
      <c r="B532" s="98" t="s">
        <v>170</v>
      </c>
      <c r="C532" s="112" t="s">
        <v>801</v>
      </c>
      <c r="D532" s="104" t="s">
        <v>9</v>
      </c>
      <c r="E532" s="104" t="s">
        <v>10</v>
      </c>
      <c r="F532" s="51" t="e">
        <f>+VLOOKUP(C532,'[1]CRUCE RIESGOS'!$F$4:$G$281,2,FALSE)</f>
        <v>#N/A</v>
      </c>
    </row>
    <row r="533" spans="1:6" ht="30" x14ac:dyDescent="0.2">
      <c r="A533" s="94" t="s">
        <v>548</v>
      </c>
      <c r="B533" s="98" t="s">
        <v>170</v>
      </c>
      <c r="C533" s="112" t="s">
        <v>802</v>
      </c>
      <c r="D533" s="104" t="s">
        <v>11</v>
      </c>
      <c r="E533" s="104" t="s">
        <v>142</v>
      </c>
      <c r="F533" s="51" t="e">
        <f>+VLOOKUP(C533,'[1]CRUCE RIESGOS'!$F$4:$G$281,2,FALSE)</f>
        <v>#N/A</v>
      </c>
    </row>
    <row r="534" spans="1:6" ht="30" x14ac:dyDescent="0.2">
      <c r="A534" s="94" t="s">
        <v>548</v>
      </c>
      <c r="B534" s="98" t="s">
        <v>170</v>
      </c>
      <c r="C534" s="112" t="s">
        <v>803</v>
      </c>
      <c r="D534" s="104" t="s">
        <v>11</v>
      </c>
      <c r="E534" s="104" t="s">
        <v>1639</v>
      </c>
      <c r="F534" s="51" t="e">
        <f>+VLOOKUP(C534,'[1]CRUCE RIESGOS'!$F$4:$G$281,2,FALSE)</f>
        <v>#N/A</v>
      </c>
    </row>
    <row r="535" spans="1:6" ht="42.75" x14ac:dyDescent="0.2">
      <c r="A535" s="94" t="s">
        <v>548</v>
      </c>
      <c r="B535" s="98" t="s">
        <v>170</v>
      </c>
      <c r="C535" s="112" t="s">
        <v>804</v>
      </c>
      <c r="D535" s="104" t="s">
        <v>9</v>
      </c>
      <c r="E535" s="104" t="s">
        <v>26</v>
      </c>
      <c r="F535" s="51" t="e">
        <f>+VLOOKUP(C535,'[1]CRUCE RIESGOS'!$F$4:$G$281,2,FALSE)</f>
        <v>#N/A</v>
      </c>
    </row>
    <row r="536" spans="1:6" ht="30" x14ac:dyDescent="0.2">
      <c r="A536" s="94" t="s">
        <v>548</v>
      </c>
      <c r="B536" s="98" t="s">
        <v>170</v>
      </c>
      <c r="C536" s="112" t="s">
        <v>805</v>
      </c>
      <c r="D536" s="104" t="s">
        <v>11</v>
      </c>
      <c r="E536" s="104" t="s">
        <v>1639</v>
      </c>
      <c r="F536" s="51" t="e">
        <f>+VLOOKUP(C536,'[1]CRUCE RIESGOS'!$F$4:$G$281,2,FALSE)</f>
        <v>#N/A</v>
      </c>
    </row>
    <row r="537" spans="1:6" ht="42.75" x14ac:dyDescent="0.2">
      <c r="A537" s="94" t="s">
        <v>548</v>
      </c>
      <c r="B537" s="98" t="s">
        <v>170</v>
      </c>
      <c r="C537" s="112" t="s">
        <v>806</v>
      </c>
      <c r="D537" s="104" t="s">
        <v>9</v>
      </c>
      <c r="E537" s="104" t="s">
        <v>173</v>
      </c>
      <c r="F537" s="51"/>
    </row>
    <row r="538" spans="1:6" ht="30" x14ac:dyDescent="0.2">
      <c r="A538" s="94" t="s">
        <v>548</v>
      </c>
      <c r="B538" s="98" t="s">
        <v>170</v>
      </c>
      <c r="C538" s="112" t="s">
        <v>807</v>
      </c>
      <c r="D538" s="104" t="s">
        <v>11</v>
      </c>
      <c r="E538" s="104" t="s">
        <v>172</v>
      </c>
      <c r="F538" s="51" t="e">
        <f>+VLOOKUP(C538,'[1]CRUCE RIESGOS'!$F$4:$G$281,2,FALSE)</f>
        <v>#N/A</v>
      </c>
    </row>
    <row r="539" spans="1:6" ht="42.75" x14ac:dyDescent="0.2">
      <c r="A539" s="94" t="s">
        <v>548</v>
      </c>
      <c r="B539" s="98" t="s">
        <v>279</v>
      </c>
      <c r="C539" s="100" t="s">
        <v>809</v>
      </c>
      <c r="D539" s="104" t="s">
        <v>12</v>
      </c>
      <c r="E539" s="104" t="s">
        <v>32</v>
      </c>
      <c r="F539" s="51" t="e">
        <f>+VLOOKUP(C539,'[1]CRUCE RIESGOS'!$F$4:$G$281,2,FALSE)</f>
        <v>#N/A</v>
      </c>
    </row>
    <row r="540" spans="1:6" ht="30" x14ac:dyDescent="0.2">
      <c r="A540" s="94" t="s">
        <v>548</v>
      </c>
      <c r="B540" s="98" t="s">
        <v>279</v>
      </c>
      <c r="C540" s="50" t="s">
        <v>810</v>
      </c>
      <c r="D540" s="104" t="s">
        <v>9</v>
      </c>
      <c r="E540" s="104" t="s">
        <v>10</v>
      </c>
      <c r="F540" s="51" t="e">
        <f>+VLOOKUP(C540,'[1]CRUCE RIESGOS'!$F$4:$G$281,2,FALSE)</f>
        <v>#N/A</v>
      </c>
    </row>
    <row r="541" spans="1:6" ht="30" x14ac:dyDescent="0.2">
      <c r="A541" s="94" t="s">
        <v>548</v>
      </c>
      <c r="B541" s="98" t="s">
        <v>279</v>
      </c>
      <c r="C541" s="50" t="s">
        <v>811</v>
      </c>
      <c r="D541" s="104" t="s">
        <v>9</v>
      </c>
      <c r="E541" s="104" t="s">
        <v>10</v>
      </c>
      <c r="F541" s="51" t="e">
        <f>+VLOOKUP(C541,'[1]CRUCE RIESGOS'!$F$4:$G$281,2,FALSE)</f>
        <v>#N/A</v>
      </c>
    </row>
    <row r="542" spans="1:6" ht="30" x14ac:dyDescent="0.2">
      <c r="A542" s="94" t="s">
        <v>548</v>
      </c>
      <c r="B542" s="98" t="s">
        <v>279</v>
      </c>
      <c r="C542" s="86" t="s">
        <v>812</v>
      </c>
      <c r="D542" s="104" t="s">
        <v>9</v>
      </c>
      <c r="E542" s="104" t="s">
        <v>173</v>
      </c>
      <c r="F542" s="51" t="e">
        <f>+VLOOKUP(C542,'[1]CRUCE RIESGOS'!$F$4:$G$281,2,FALSE)</f>
        <v>#N/A</v>
      </c>
    </row>
    <row r="543" spans="1:6" ht="30" x14ac:dyDescent="0.2">
      <c r="A543" s="94" t="s">
        <v>548</v>
      </c>
      <c r="B543" s="98" t="s">
        <v>279</v>
      </c>
      <c r="C543" s="86" t="s">
        <v>813</v>
      </c>
      <c r="D543" s="104" t="s">
        <v>1837</v>
      </c>
      <c r="E543" s="104" t="s">
        <v>52</v>
      </c>
      <c r="F543" s="51" t="e">
        <f>+VLOOKUP(C543,'[1]CRUCE RIESGOS'!$F$4:$G$281,2,FALSE)</f>
        <v>#N/A</v>
      </c>
    </row>
    <row r="544" spans="1:6" ht="30" x14ac:dyDescent="0.2">
      <c r="A544" s="94" t="s">
        <v>548</v>
      </c>
      <c r="B544" s="98" t="s">
        <v>279</v>
      </c>
      <c r="C544" s="50" t="s">
        <v>814</v>
      </c>
      <c r="D544" s="104" t="s">
        <v>11</v>
      </c>
      <c r="E544" s="104" t="s">
        <v>1841</v>
      </c>
      <c r="F544" s="51" t="e">
        <f>+VLOOKUP(C544,'[1]CRUCE RIESGOS'!$F$4:$G$281,2,FALSE)</f>
        <v>#N/A</v>
      </c>
    </row>
    <row r="545" spans="1:6" ht="42.75" x14ac:dyDescent="0.2">
      <c r="A545" s="94" t="s">
        <v>548</v>
      </c>
      <c r="B545" s="98" t="s">
        <v>279</v>
      </c>
      <c r="C545" s="50" t="s">
        <v>815</v>
      </c>
      <c r="D545" s="104" t="s">
        <v>9</v>
      </c>
      <c r="E545" s="104" t="s">
        <v>173</v>
      </c>
      <c r="F545" s="51" t="e">
        <f>+VLOOKUP(C545,'[1]CRUCE RIESGOS'!$F$4:$G$281,2,FALSE)</f>
        <v>#N/A</v>
      </c>
    </row>
    <row r="546" spans="1:6" ht="42.75" x14ac:dyDescent="0.2">
      <c r="A546" s="94" t="s">
        <v>548</v>
      </c>
      <c r="B546" s="98" t="s">
        <v>279</v>
      </c>
      <c r="C546" s="50" t="s">
        <v>816</v>
      </c>
      <c r="D546" s="104" t="s">
        <v>9</v>
      </c>
      <c r="E546" s="104" t="s">
        <v>10</v>
      </c>
      <c r="F546" s="51" t="e">
        <f>+VLOOKUP(C546,'[1]CRUCE RIESGOS'!$F$4:$G$281,2,FALSE)</f>
        <v>#N/A</v>
      </c>
    </row>
    <row r="547" spans="1:6" ht="30" x14ac:dyDescent="0.2">
      <c r="A547" s="94" t="s">
        <v>548</v>
      </c>
      <c r="B547" s="98" t="s">
        <v>279</v>
      </c>
      <c r="C547" s="50" t="s">
        <v>817</v>
      </c>
      <c r="D547" s="104" t="s">
        <v>9</v>
      </c>
      <c r="E547" s="104" t="s">
        <v>18</v>
      </c>
      <c r="F547" s="51" t="e">
        <f>+VLOOKUP(C547,'[1]CRUCE RIESGOS'!$F$4:$G$281,2,FALSE)</f>
        <v>#N/A</v>
      </c>
    </row>
    <row r="548" spans="1:6" ht="30" x14ac:dyDescent="0.2">
      <c r="A548" s="94" t="s">
        <v>548</v>
      </c>
      <c r="B548" s="98" t="s">
        <v>279</v>
      </c>
      <c r="C548" s="101" t="s">
        <v>818</v>
      </c>
      <c r="D548" s="104" t="s">
        <v>1837</v>
      </c>
      <c r="E548" s="104" t="s">
        <v>1846</v>
      </c>
      <c r="F548" s="51" t="e">
        <f>+VLOOKUP(C548,'[1]CRUCE RIESGOS'!$F$4:$G$281,2,FALSE)</f>
        <v>#N/A</v>
      </c>
    </row>
    <row r="549" spans="1:6" ht="30" x14ac:dyDescent="0.2">
      <c r="A549" s="94" t="s">
        <v>548</v>
      </c>
      <c r="B549" s="98" t="s">
        <v>279</v>
      </c>
      <c r="C549" s="95" t="s">
        <v>819</v>
      </c>
      <c r="D549" s="104" t="s">
        <v>1837</v>
      </c>
      <c r="E549" s="104" t="s">
        <v>62</v>
      </c>
      <c r="F549" s="51" t="e">
        <f>+VLOOKUP(C549,'[1]CRUCE RIESGOS'!$F$4:$G$281,2,FALSE)</f>
        <v>#N/A</v>
      </c>
    </row>
    <row r="550" spans="1:6" ht="30" x14ac:dyDescent="0.2">
      <c r="A550" s="94" t="s">
        <v>548</v>
      </c>
      <c r="B550" s="98" t="s">
        <v>279</v>
      </c>
      <c r="C550" s="95" t="s">
        <v>820</v>
      </c>
      <c r="D550" s="104" t="s">
        <v>9</v>
      </c>
      <c r="E550" s="104" t="s">
        <v>18</v>
      </c>
      <c r="F550" s="51"/>
    </row>
    <row r="551" spans="1:6" ht="30" x14ac:dyDescent="0.2">
      <c r="A551" s="94" t="s">
        <v>548</v>
      </c>
      <c r="B551" s="98" t="s">
        <v>306</v>
      </c>
      <c r="C551" s="50" t="s">
        <v>834</v>
      </c>
      <c r="D551" s="104" t="s">
        <v>11</v>
      </c>
      <c r="E551" s="104" t="s">
        <v>1841</v>
      </c>
      <c r="F551" s="51" t="e">
        <f>+VLOOKUP(C551,'[1]CRUCE RIESGOS'!$F$4:$G$281,2,FALSE)</f>
        <v>#N/A</v>
      </c>
    </row>
    <row r="552" spans="1:6" ht="30" x14ac:dyDescent="0.2">
      <c r="A552" s="94" t="s">
        <v>548</v>
      </c>
      <c r="B552" s="98" t="s">
        <v>306</v>
      </c>
      <c r="C552" s="50" t="s">
        <v>836</v>
      </c>
      <c r="D552" s="104" t="s">
        <v>11</v>
      </c>
      <c r="E552" s="104" t="s">
        <v>1639</v>
      </c>
      <c r="F552" s="51" t="e">
        <f>+VLOOKUP(C552,'[1]CRUCE RIESGOS'!$F$4:$G$281,2,FALSE)</f>
        <v>#N/A</v>
      </c>
    </row>
    <row r="553" spans="1:6" ht="30" x14ac:dyDescent="0.2">
      <c r="A553" s="94" t="s">
        <v>548</v>
      </c>
      <c r="B553" s="98" t="s">
        <v>306</v>
      </c>
      <c r="C553" s="85" t="s">
        <v>842</v>
      </c>
      <c r="D553" s="104" t="s">
        <v>9</v>
      </c>
      <c r="E553" s="104" t="s">
        <v>173</v>
      </c>
      <c r="F553" s="51" t="e">
        <f>+VLOOKUP(C553,'[1]CRUCE RIESGOS'!$F$4:$G$281,2,FALSE)</f>
        <v>#N/A</v>
      </c>
    </row>
    <row r="554" spans="1:6" ht="30" x14ac:dyDescent="0.2">
      <c r="A554" s="94" t="s">
        <v>548</v>
      </c>
      <c r="B554" s="98" t="s">
        <v>306</v>
      </c>
      <c r="C554" s="85" t="s">
        <v>843</v>
      </c>
      <c r="D554" s="104" t="s">
        <v>11</v>
      </c>
      <c r="E554" s="104" t="s">
        <v>1841</v>
      </c>
      <c r="F554" s="51" t="e">
        <f>+VLOOKUP(C554,'[1]CRUCE RIESGOS'!$F$4:$G$281,2,FALSE)</f>
        <v>#N/A</v>
      </c>
    </row>
    <row r="555" spans="1:6" ht="30" x14ac:dyDescent="0.2">
      <c r="A555" s="94" t="s">
        <v>548</v>
      </c>
      <c r="B555" s="98" t="s">
        <v>306</v>
      </c>
      <c r="C555" s="85" t="s">
        <v>844</v>
      </c>
      <c r="D555" s="104" t="s">
        <v>11</v>
      </c>
      <c r="E555" s="104" t="s">
        <v>45</v>
      </c>
      <c r="F555" s="51" t="e">
        <f>+VLOOKUP(C555,'[1]CRUCE RIESGOS'!$F$4:$G$281,2,FALSE)</f>
        <v>#N/A</v>
      </c>
    </row>
    <row r="556" spans="1:6" ht="30" x14ac:dyDescent="0.2">
      <c r="A556" s="94" t="s">
        <v>548</v>
      </c>
      <c r="B556" s="98" t="s">
        <v>306</v>
      </c>
      <c r="C556" s="85" t="s">
        <v>845</v>
      </c>
      <c r="D556" s="104" t="s">
        <v>1837</v>
      </c>
      <c r="E556" s="104" t="s">
        <v>563</v>
      </c>
      <c r="F556" s="51" t="e">
        <f>+VLOOKUP(C556,'[1]CRUCE RIESGOS'!$F$4:$G$281,2,FALSE)</f>
        <v>#N/A</v>
      </c>
    </row>
    <row r="557" spans="1:6" ht="30" x14ac:dyDescent="0.2">
      <c r="A557" s="94" t="s">
        <v>548</v>
      </c>
      <c r="B557" s="98" t="s">
        <v>306</v>
      </c>
      <c r="C557" s="85" t="s">
        <v>846</v>
      </c>
      <c r="D557" s="104" t="s">
        <v>9</v>
      </c>
      <c r="E557" s="104" t="s">
        <v>18</v>
      </c>
      <c r="F557" s="51" t="e">
        <f>+VLOOKUP(C557,'[1]CRUCE RIESGOS'!$F$4:$G$281,2,FALSE)</f>
        <v>#N/A</v>
      </c>
    </row>
    <row r="558" spans="1:6" ht="30" x14ac:dyDescent="0.2">
      <c r="A558" s="94" t="s">
        <v>548</v>
      </c>
      <c r="B558" s="98" t="s">
        <v>306</v>
      </c>
      <c r="C558" s="85" t="s">
        <v>847</v>
      </c>
      <c r="D558" s="104" t="s">
        <v>16</v>
      </c>
      <c r="E558" s="104" t="s">
        <v>17</v>
      </c>
      <c r="F558" s="51"/>
    </row>
    <row r="559" spans="1:6" ht="40.5" customHeight="1" x14ac:dyDescent="0.2">
      <c r="A559" s="94" t="s">
        <v>548</v>
      </c>
      <c r="B559" s="98" t="s">
        <v>306</v>
      </c>
      <c r="C559" s="85" t="s">
        <v>848</v>
      </c>
      <c r="D559" s="104" t="s">
        <v>11</v>
      </c>
      <c r="E559" s="104" t="s">
        <v>142</v>
      </c>
      <c r="F559" s="51"/>
    </row>
    <row r="560" spans="1:6" ht="42" customHeight="1" x14ac:dyDescent="0.2">
      <c r="A560" s="94" t="s">
        <v>548</v>
      </c>
      <c r="B560" s="98" t="s">
        <v>306</v>
      </c>
      <c r="C560" s="85" t="s">
        <v>848</v>
      </c>
      <c r="D560" s="104" t="s">
        <v>11</v>
      </c>
      <c r="E560" s="104" t="s">
        <v>142</v>
      </c>
      <c r="F560" s="51" t="e">
        <f>+VLOOKUP(C560,'[1]CRUCE RIESGOS'!$F$4:$G$281,2,FALSE)</f>
        <v>#N/A</v>
      </c>
    </row>
    <row r="561" spans="1:6" ht="30" x14ac:dyDescent="0.2">
      <c r="A561" s="94" t="s">
        <v>548</v>
      </c>
      <c r="B561" s="98" t="s">
        <v>306</v>
      </c>
      <c r="C561" s="85" t="s">
        <v>849</v>
      </c>
      <c r="D561" s="104" t="s">
        <v>1837</v>
      </c>
      <c r="E561" s="104" t="s">
        <v>563</v>
      </c>
      <c r="F561" s="51" t="e">
        <f>+VLOOKUP(C561,'[1]CRUCE RIESGOS'!$F$4:$G$281,2,FALSE)</f>
        <v>#N/A</v>
      </c>
    </row>
    <row r="562" spans="1:6" ht="30" x14ac:dyDescent="0.2">
      <c r="A562" s="94" t="s">
        <v>548</v>
      </c>
      <c r="B562" s="98" t="s">
        <v>306</v>
      </c>
      <c r="C562" s="50" t="s">
        <v>850</v>
      </c>
      <c r="D562" s="104" t="s">
        <v>9</v>
      </c>
      <c r="E562" s="104" t="s">
        <v>15</v>
      </c>
      <c r="F562" s="51" t="e">
        <f>+VLOOKUP(C562,'[1]CRUCE RIESGOS'!$F$4:$G$281,2,FALSE)</f>
        <v>#N/A</v>
      </c>
    </row>
    <row r="563" spans="1:6" ht="42.75" x14ac:dyDescent="0.2">
      <c r="A563" s="94" t="s">
        <v>548</v>
      </c>
      <c r="B563" s="98" t="s">
        <v>306</v>
      </c>
      <c r="C563" s="50" t="s">
        <v>851</v>
      </c>
      <c r="D563" s="104" t="s">
        <v>12</v>
      </c>
      <c r="E563" s="104" t="s">
        <v>32</v>
      </c>
      <c r="F563" s="51" t="e">
        <f>+VLOOKUP(C563,'[1]CRUCE RIESGOS'!$F$4:$G$281,2,FALSE)</f>
        <v>#N/A</v>
      </c>
    </row>
    <row r="564" spans="1:6" ht="30" x14ac:dyDescent="0.2">
      <c r="A564" s="94" t="s">
        <v>548</v>
      </c>
      <c r="B564" s="98" t="s">
        <v>306</v>
      </c>
      <c r="C564" s="50" t="s">
        <v>852</v>
      </c>
      <c r="D564" s="104" t="s">
        <v>1837</v>
      </c>
      <c r="E564" s="104" t="s">
        <v>52</v>
      </c>
      <c r="F564" s="51" t="e">
        <f>+VLOOKUP(C564,'[1]CRUCE RIESGOS'!$F$4:$G$281,2,FALSE)</f>
        <v>#N/A</v>
      </c>
    </row>
    <row r="565" spans="1:6" ht="30" x14ac:dyDescent="0.2">
      <c r="A565" s="94" t="s">
        <v>548</v>
      </c>
      <c r="B565" s="98" t="s">
        <v>306</v>
      </c>
      <c r="C565" s="50" t="s">
        <v>853</v>
      </c>
      <c r="D565" s="104" t="s">
        <v>16</v>
      </c>
      <c r="E565" s="104" t="s">
        <v>144</v>
      </c>
      <c r="F565" s="51" t="e">
        <f>+VLOOKUP(C565,'[1]CRUCE RIESGOS'!$F$4:$G$281,2,FALSE)</f>
        <v>#N/A</v>
      </c>
    </row>
    <row r="566" spans="1:6" ht="30" x14ac:dyDescent="0.2">
      <c r="A566" s="94" t="s">
        <v>548</v>
      </c>
      <c r="B566" s="98" t="s">
        <v>306</v>
      </c>
      <c r="C566" s="50" t="s">
        <v>854</v>
      </c>
      <c r="D566" s="104" t="s">
        <v>9</v>
      </c>
      <c r="E566" s="104" t="s">
        <v>145</v>
      </c>
      <c r="F566" s="51" t="e">
        <f>+VLOOKUP(C566,'[1]CRUCE RIESGOS'!$F$4:$G$281,2,FALSE)</f>
        <v>#N/A</v>
      </c>
    </row>
    <row r="567" spans="1:6" ht="30" x14ac:dyDescent="0.2">
      <c r="A567" s="94" t="s">
        <v>548</v>
      </c>
      <c r="B567" s="98" t="s">
        <v>306</v>
      </c>
      <c r="C567" s="50" t="s">
        <v>855</v>
      </c>
      <c r="D567" s="104" t="s">
        <v>9</v>
      </c>
      <c r="E567" s="104" t="s">
        <v>145</v>
      </c>
      <c r="F567" s="51"/>
    </row>
    <row r="568" spans="1:6" ht="30" x14ac:dyDescent="0.2">
      <c r="A568" s="94" t="s">
        <v>548</v>
      </c>
      <c r="B568" s="98" t="s">
        <v>306</v>
      </c>
      <c r="C568" s="50" t="s">
        <v>856</v>
      </c>
      <c r="D568" s="104" t="s">
        <v>9</v>
      </c>
      <c r="E568" s="104" t="s">
        <v>10</v>
      </c>
      <c r="F568" s="51" t="e">
        <f>+VLOOKUP(C568,'[1]CRUCE RIESGOS'!$F$4:$G$281,2,FALSE)</f>
        <v>#N/A</v>
      </c>
    </row>
    <row r="569" spans="1:6" ht="42.75" x14ac:dyDescent="0.2">
      <c r="A569" s="94" t="s">
        <v>548</v>
      </c>
      <c r="B569" s="98" t="s">
        <v>306</v>
      </c>
      <c r="C569" s="50" t="s">
        <v>857</v>
      </c>
      <c r="D569" s="104" t="s">
        <v>12</v>
      </c>
      <c r="E569" s="104" t="s">
        <v>13</v>
      </c>
      <c r="F569" s="51" t="e">
        <f>+VLOOKUP(C569,'[1]CRUCE RIESGOS'!$F$4:$G$281,2,FALSE)</f>
        <v>#N/A</v>
      </c>
    </row>
    <row r="570" spans="1:6" ht="30" x14ac:dyDescent="0.2">
      <c r="A570" s="94" t="s">
        <v>548</v>
      </c>
      <c r="B570" s="98" t="s">
        <v>306</v>
      </c>
      <c r="C570" s="85" t="s">
        <v>858</v>
      </c>
      <c r="D570" s="104" t="s">
        <v>11</v>
      </c>
      <c r="E570" s="104" t="s">
        <v>1884</v>
      </c>
      <c r="F570" s="51" t="e">
        <f>+VLOOKUP(C570,'[1]CRUCE RIESGOS'!$F$4:$G$281,2,FALSE)</f>
        <v>#N/A</v>
      </c>
    </row>
    <row r="571" spans="1:6" ht="30" x14ac:dyDescent="0.2">
      <c r="A571" s="94" t="s">
        <v>548</v>
      </c>
      <c r="B571" s="98" t="s">
        <v>306</v>
      </c>
      <c r="C571" s="85" t="s">
        <v>859</v>
      </c>
      <c r="D571" s="104" t="s">
        <v>1837</v>
      </c>
      <c r="E571" s="104" t="s">
        <v>52</v>
      </c>
      <c r="F571" s="51" t="e">
        <f>+VLOOKUP(C571,'[1]CRUCE RIESGOS'!$F$4:$G$281,2,FALSE)</f>
        <v>#N/A</v>
      </c>
    </row>
    <row r="572" spans="1:6" ht="30" x14ac:dyDescent="0.2">
      <c r="A572" s="94" t="s">
        <v>548</v>
      </c>
      <c r="B572" s="98" t="s">
        <v>306</v>
      </c>
      <c r="C572" s="85" t="s">
        <v>860</v>
      </c>
      <c r="D572" s="104" t="s">
        <v>9</v>
      </c>
      <c r="E572" s="104" t="s">
        <v>10</v>
      </c>
      <c r="F572" s="51" t="e">
        <f>+VLOOKUP(C572,'[1]CRUCE RIESGOS'!$F$4:$G$281,2,FALSE)</f>
        <v>#N/A</v>
      </c>
    </row>
    <row r="573" spans="1:6" ht="30" x14ac:dyDescent="0.2">
      <c r="A573" s="94" t="s">
        <v>548</v>
      </c>
      <c r="B573" s="98" t="s">
        <v>306</v>
      </c>
      <c r="C573" s="85" t="s">
        <v>861</v>
      </c>
      <c r="D573" s="104" t="s">
        <v>9</v>
      </c>
      <c r="E573" s="104" t="s">
        <v>26</v>
      </c>
      <c r="F573" s="51" t="e">
        <f>+VLOOKUP(C573,'[1]CRUCE RIESGOS'!$F$4:$G$281,2,FALSE)</f>
        <v>#N/A</v>
      </c>
    </row>
    <row r="574" spans="1:6" ht="42.75" x14ac:dyDescent="0.2">
      <c r="A574" s="94" t="s">
        <v>548</v>
      </c>
      <c r="B574" s="98" t="s">
        <v>306</v>
      </c>
      <c r="C574" s="85" t="s">
        <v>862</v>
      </c>
      <c r="D574" s="104" t="s">
        <v>12</v>
      </c>
      <c r="E574" s="104" t="s">
        <v>1573</v>
      </c>
      <c r="F574" s="51" t="e">
        <f>+VLOOKUP(C574,'[1]CRUCE RIESGOS'!$F$4:$G$281,2,FALSE)</f>
        <v>#N/A</v>
      </c>
    </row>
    <row r="575" spans="1:6" ht="42.75" x14ac:dyDescent="0.2">
      <c r="A575" s="94" t="s">
        <v>548</v>
      </c>
      <c r="B575" s="98" t="s">
        <v>306</v>
      </c>
      <c r="C575" s="85" t="s">
        <v>863</v>
      </c>
      <c r="D575" s="104" t="s">
        <v>12</v>
      </c>
      <c r="E575" s="104" t="s">
        <v>93</v>
      </c>
      <c r="F575" s="51" t="e">
        <f>+VLOOKUP(C575,'[1]CRUCE RIESGOS'!$F$4:$G$281,2,FALSE)</f>
        <v>#N/A</v>
      </c>
    </row>
    <row r="576" spans="1:6" ht="30" x14ac:dyDescent="0.2">
      <c r="A576" s="94" t="s">
        <v>548</v>
      </c>
      <c r="B576" s="98" t="s">
        <v>306</v>
      </c>
      <c r="C576" s="85" t="s">
        <v>864</v>
      </c>
      <c r="D576" s="104" t="s">
        <v>1837</v>
      </c>
      <c r="E576" s="104" t="s">
        <v>71</v>
      </c>
      <c r="F576" s="51" t="e">
        <f>+VLOOKUP(C576,'[1]CRUCE RIESGOS'!$F$4:$G$281,2,FALSE)</f>
        <v>#N/A</v>
      </c>
    </row>
    <row r="577" spans="1:6" ht="42.75" x14ac:dyDescent="0.2">
      <c r="A577" s="94" t="s">
        <v>548</v>
      </c>
      <c r="B577" s="98" t="s">
        <v>306</v>
      </c>
      <c r="C577" s="85" t="s">
        <v>865</v>
      </c>
      <c r="D577" s="104" t="s">
        <v>12</v>
      </c>
      <c r="E577" s="104" t="s">
        <v>13</v>
      </c>
      <c r="F577" s="51"/>
    </row>
    <row r="578" spans="1:6" ht="42.75" x14ac:dyDescent="0.2">
      <c r="A578" s="94" t="s">
        <v>548</v>
      </c>
      <c r="B578" s="98" t="s">
        <v>306</v>
      </c>
      <c r="C578" s="85" t="s">
        <v>866</v>
      </c>
      <c r="D578" s="104" t="s">
        <v>12</v>
      </c>
      <c r="E578" s="104" t="s">
        <v>93</v>
      </c>
      <c r="F578" s="51"/>
    </row>
    <row r="579" spans="1:6" ht="30" x14ac:dyDescent="0.2">
      <c r="A579" s="94" t="s">
        <v>548</v>
      </c>
      <c r="B579" s="98" t="s">
        <v>306</v>
      </c>
      <c r="C579" s="85" t="s">
        <v>867</v>
      </c>
      <c r="D579" s="104" t="s">
        <v>1837</v>
      </c>
      <c r="E579" s="104" t="s">
        <v>20</v>
      </c>
      <c r="F579" s="51"/>
    </row>
    <row r="580" spans="1:6" ht="30" x14ac:dyDescent="0.2">
      <c r="A580" s="94" t="s">
        <v>548</v>
      </c>
      <c r="B580" s="98" t="s">
        <v>306</v>
      </c>
      <c r="C580" s="85" t="s">
        <v>868</v>
      </c>
      <c r="D580" s="104" t="s">
        <v>11</v>
      </c>
      <c r="E580" s="104" t="s">
        <v>142</v>
      </c>
      <c r="F580" s="51"/>
    </row>
    <row r="581" spans="1:6" ht="30" x14ac:dyDescent="0.2">
      <c r="A581" s="94" t="s">
        <v>548</v>
      </c>
      <c r="B581" s="98" t="s">
        <v>306</v>
      </c>
      <c r="C581" s="85" t="s">
        <v>869</v>
      </c>
      <c r="D581" s="104" t="s">
        <v>9</v>
      </c>
      <c r="E581" s="104" t="s">
        <v>18</v>
      </c>
      <c r="F581" s="51"/>
    </row>
    <row r="582" spans="1:6" ht="42.75" x14ac:dyDescent="0.2">
      <c r="A582" s="94" t="s">
        <v>548</v>
      </c>
      <c r="B582" s="98" t="s">
        <v>306</v>
      </c>
      <c r="C582" s="85" t="s">
        <v>870</v>
      </c>
      <c r="D582" s="104" t="s">
        <v>12</v>
      </c>
      <c r="E582" s="104" t="s">
        <v>13</v>
      </c>
      <c r="F582" s="51"/>
    </row>
    <row r="583" spans="1:6" ht="30" x14ac:dyDescent="0.2">
      <c r="A583" s="94" t="s">
        <v>548</v>
      </c>
      <c r="B583" s="98" t="s">
        <v>306</v>
      </c>
      <c r="C583" s="85" t="s">
        <v>871</v>
      </c>
      <c r="D583" s="104" t="s">
        <v>11</v>
      </c>
      <c r="E583" s="104" t="s">
        <v>1639</v>
      </c>
      <c r="F583" s="51"/>
    </row>
    <row r="584" spans="1:6" ht="30" x14ac:dyDescent="0.2">
      <c r="A584" s="94" t="s">
        <v>548</v>
      </c>
      <c r="B584" s="98" t="s">
        <v>380</v>
      </c>
      <c r="C584" s="123" t="s">
        <v>889</v>
      </c>
      <c r="D584" s="104" t="s">
        <v>11</v>
      </c>
      <c r="E584" s="104" t="s">
        <v>1841</v>
      </c>
      <c r="F584" s="51" t="e">
        <f>+VLOOKUP(C584,'[1]CRUCE RIESGOS'!$F$4:$G$281,2,FALSE)</f>
        <v>#N/A</v>
      </c>
    </row>
    <row r="585" spans="1:6" ht="57" x14ac:dyDescent="0.2">
      <c r="A585" s="94" t="s">
        <v>548</v>
      </c>
      <c r="B585" s="98" t="s">
        <v>380</v>
      </c>
      <c r="C585" s="85" t="s">
        <v>890</v>
      </c>
      <c r="D585" s="104" t="s">
        <v>11</v>
      </c>
      <c r="E585" s="104" t="s">
        <v>1639</v>
      </c>
      <c r="F585" s="51" t="e">
        <f>+VLOOKUP(C585,'[1]CRUCE RIESGOS'!$F$4:$G$281,2,FALSE)</f>
        <v>#N/A</v>
      </c>
    </row>
    <row r="586" spans="1:6" ht="42.75" x14ac:dyDescent="0.2">
      <c r="A586" s="94" t="s">
        <v>548</v>
      </c>
      <c r="B586" s="98" t="s">
        <v>380</v>
      </c>
      <c r="C586" s="85" t="s">
        <v>891</v>
      </c>
      <c r="D586" s="104" t="s">
        <v>11</v>
      </c>
      <c r="E586" s="104" t="s">
        <v>1841</v>
      </c>
      <c r="F586" s="51" t="e">
        <f>+VLOOKUP(C586,'[1]CRUCE RIESGOS'!$F$4:$G$281,2,FALSE)</f>
        <v>#N/A</v>
      </c>
    </row>
    <row r="587" spans="1:6" ht="42.75" x14ac:dyDescent="0.2">
      <c r="A587" s="94" t="s">
        <v>548</v>
      </c>
      <c r="B587" s="98" t="s">
        <v>380</v>
      </c>
      <c r="C587" s="50" t="s">
        <v>892</v>
      </c>
      <c r="D587" s="104" t="s">
        <v>12</v>
      </c>
      <c r="E587" s="104" t="s">
        <v>13</v>
      </c>
      <c r="F587" s="51" t="e">
        <f>+VLOOKUP(C587,'[1]CRUCE RIESGOS'!$F$4:$G$281,2,FALSE)</f>
        <v>#N/A</v>
      </c>
    </row>
    <row r="588" spans="1:6" ht="30" x14ac:dyDescent="0.2">
      <c r="A588" s="94" t="s">
        <v>548</v>
      </c>
      <c r="B588" s="98" t="s">
        <v>380</v>
      </c>
      <c r="C588" s="85" t="s">
        <v>893</v>
      </c>
      <c r="D588" s="104" t="s">
        <v>1837</v>
      </c>
      <c r="E588" s="104" t="s">
        <v>70</v>
      </c>
      <c r="F588" s="51" t="e">
        <f>+VLOOKUP(C588,'[1]CRUCE RIESGOS'!$F$4:$G$281,2,FALSE)</f>
        <v>#N/A</v>
      </c>
    </row>
    <row r="589" spans="1:6" ht="30" x14ac:dyDescent="0.2">
      <c r="A589" s="94" t="s">
        <v>548</v>
      </c>
      <c r="B589" s="98" t="s">
        <v>380</v>
      </c>
      <c r="C589" s="50" t="s">
        <v>894</v>
      </c>
      <c r="D589" s="104" t="s">
        <v>11</v>
      </c>
      <c r="E589" s="104" t="s">
        <v>1884</v>
      </c>
      <c r="F589" s="51" t="e">
        <f>+VLOOKUP(C589,'[1]CRUCE RIESGOS'!$F$4:$G$281,2,FALSE)</f>
        <v>#N/A</v>
      </c>
    </row>
    <row r="590" spans="1:6" ht="30" x14ac:dyDescent="0.2">
      <c r="A590" s="94" t="s">
        <v>548</v>
      </c>
      <c r="B590" s="98" t="s">
        <v>380</v>
      </c>
      <c r="C590" s="50" t="s">
        <v>895</v>
      </c>
      <c r="D590" s="104" t="s">
        <v>9</v>
      </c>
      <c r="E590" s="104" t="s">
        <v>173</v>
      </c>
      <c r="F590" s="51" t="e">
        <f>+VLOOKUP(C590,'[1]CRUCE RIESGOS'!$F$4:$G$281,2,FALSE)</f>
        <v>#N/A</v>
      </c>
    </row>
    <row r="591" spans="1:6" ht="30" x14ac:dyDescent="0.2">
      <c r="A591" s="94" t="s">
        <v>548</v>
      </c>
      <c r="B591" s="98" t="s">
        <v>380</v>
      </c>
      <c r="C591" s="50" t="s">
        <v>896</v>
      </c>
      <c r="D591" s="104" t="s">
        <v>9</v>
      </c>
      <c r="E591" s="104" t="s">
        <v>10</v>
      </c>
      <c r="F591" s="51" t="e">
        <f>+VLOOKUP(C591,'[1]CRUCE RIESGOS'!$F$4:$G$281,2,FALSE)</f>
        <v>#N/A</v>
      </c>
    </row>
    <row r="592" spans="1:6" ht="42.75" x14ac:dyDescent="0.2">
      <c r="A592" s="94" t="s">
        <v>548</v>
      </c>
      <c r="B592" s="98" t="s">
        <v>380</v>
      </c>
      <c r="C592" s="50" t="s">
        <v>897</v>
      </c>
      <c r="D592" s="104" t="s">
        <v>9</v>
      </c>
      <c r="E592" s="104" t="s">
        <v>15</v>
      </c>
      <c r="F592" s="51" t="e">
        <f>+VLOOKUP(C592,'[1]CRUCE RIESGOS'!$F$4:$G$281,2,FALSE)</f>
        <v>#N/A</v>
      </c>
    </row>
    <row r="593" spans="1:6" ht="30" x14ac:dyDescent="0.2">
      <c r="A593" s="94" t="s">
        <v>548</v>
      </c>
      <c r="B593" s="98" t="s">
        <v>380</v>
      </c>
      <c r="C593" s="85" t="s">
        <v>642</v>
      </c>
      <c r="D593" s="104" t="s">
        <v>1837</v>
      </c>
      <c r="E593" s="104" t="s">
        <v>52</v>
      </c>
      <c r="F593" s="51" t="e">
        <f>+VLOOKUP(C593,'[1]CRUCE RIESGOS'!$F$4:$G$281,2,FALSE)</f>
        <v>#N/A</v>
      </c>
    </row>
    <row r="594" spans="1:6" x14ac:dyDescent="0.2">
      <c r="A594" s="94" t="s">
        <v>548</v>
      </c>
      <c r="B594" s="98" t="s">
        <v>391</v>
      </c>
      <c r="C594" s="85" t="s">
        <v>900</v>
      </c>
      <c r="D594" s="104" t="s">
        <v>59</v>
      </c>
      <c r="E594" s="104" t="s">
        <v>293</v>
      </c>
      <c r="F594" s="51" t="e">
        <f>+VLOOKUP(C594,'[1]CRUCE RIESGOS'!$F$4:$G$281,2,FALSE)</f>
        <v>#N/A</v>
      </c>
    </row>
    <row r="595" spans="1:6" ht="28.5" x14ac:dyDescent="0.2">
      <c r="A595" s="94" t="s">
        <v>548</v>
      </c>
      <c r="B595" s="98" t="s">
        <v>391</v>
      </c>
      <c r="C595" s="50" t="s">
        <v>901</v>
      </c>
      <c r="D595" s="104" t="s">
        <v>9</v>
      </c>
      <c r="E595" s="104" t="s">
        <v>18</v>
      </c>
      <c r="F595" s="51" t="e">
        <f>+VLOOKUP(C595,'[1]CRUCE RIESGOS'!$F$4:$G$281,2,FALSE)</f>
        <v>#N/A</v>
      </c>
    </row>
    <row r="596" spans="1:6" x14ac:dyDescent="0.2">
      <c r="A596" s="94" t="s">
        <v>548</v>
      </c>
      <c r="B596" s="98" t="s">
        <v>391</v>
      </c>
      <c r="C596" s="85" t="s">
        <v>902</v>
      </c>
      <c r="D596" s="104" t="s">
        <v>11</v>
      </c>
      <c r="E596" s="104" t="s">
        <v>45</v>
      </c>
      <c r="F596" s="51" t="e">
        <f>+VLOOKUP(C596,'[1]CRUCE RIESGOS'!$F$4:$G$281,2,FALSE)</f>
        <v>#N/A</v>
      </c>
    </row>
    <row r="597" spans="1:6" ht="28.5" x14ac:dyDescent="0.2">
      <c r="A597" s="94" t="s">
        <v>548</v>
      </c>
      <c r="B597" s="98" t="s">
        <v>391</v>
      </c>
      <c r="C597" s="85" t="s">
        <v>903</v>
      </c>
      <c r="D597" s="104" t="s">
        <v>1837</v>
      </c>
      <c r="E597" s="104" t="s">
        <v>71</v>
      </c>
      <c r="F597" s="51" t="e">
        <f>+VLOOKUP(C597,'[1]CRUCE RIESGOS'!$F$4:$G$281,2,FALSE)</f>
        <v>#N/A</v>
      </c>
    </row>
    <row r="598" spans="1:6" ht="42.75" x14ac:dyDescent="0.2">
      <c r="A598" s="94" t="s">
        <v>548</v>
      </c>
      <c r="B598" s="98" t="s">
        <v>391</v>
      </c>
      <c r="C598" s="85" t="s">
        <v>904</v>
      </c>
      <c r="D598" s="104" t="s">
        <v>12</v>
      </c>
      <c r="E598" s="104" t="s">
        <v>32</v>
      </c>
      <c r="F598" s="51"/>
    </row>
    <row r="599" spans="1:6" ht="30" x14ac:dyDescent="0.2">
      <c r="A599" s="94" t="s">
        <v>548</v>
      </c>
      <c r="B599" s="98" t="s">
        <v>409</v>
      </c>
      <c r="C599" s="85" t="s">
        <v>906</v>
      </c>
      <c r="D599" s="104" t="s">
        <v>1837</v>
      </c>
      <c r="E599" s="104" t="s">
        <v>20</v>
      </c>
      <c r="F599" s="51" t="e">
        <f>+VLOOKUP(C599,'[1]CRUCE RIESGOS'!$F$4:$G$281,2,FALSE)</f>
        <v>#N/A</v>
      </c>
    </row>
    <row r="600" spans="1:6" ht="30" x14ac:dyDescent="0.2">
      <c r="A600" s="94" t="s">
        <v>548</v>
      </c>
      <c r="B600" s="98" t="s">
        <v>409</v>
      </c>
      <c r="C600" s="85" t="s">
        <v>907</v>
      </c>
      <c r="D600" s="104" t="s">
        <v>11</v>
      </c>
      <c r="E600" s="104" t="s">
        <v>172</v>
      </c>
      <c r="F600" s="51" t="e">
        <f>+VLOOKUP(C600,'[1]CRUCE RIESGOS'!$F$4:$G$281,2,FALSE)</f>
        <v>#N/A</v>
      </c>
    </row>
    <row r="601" spans="1:6" ht="30" x14ac:dyDescent="0.2">
      <c r="A601" s="94" t="s">
        <v>548</v>
      </c>
      <c r="B601" s="98" t="s">
        <v>409</v>
      </c>
      <c r="C601" s="85" t="s">
        <v>910</v>
      </c>
      <c r="D601" s="104" t="s">
        <v>11</v>
      </c>
      <c r="E601" s="104" t="s">
        <v>1639</v>
      </c>
      <c r="F601" s="51"/>
    </row>
    <row r="602" spans="1:6" ht="30" x14ac:dyDescent="0.2">
      <c r="A602" s="94" t="s">
        <v>548</v>
      </c>
      <c r="B602" s="98" t="s">
        <v>409</v>
      </c>
      <c r="C602" s="50" t="s">
        <v>908</v>
      </c>
      <c r="D602" s="104" t="s">
        <v>42</v>
      </c>
      <c r="E602" s="104" t="s">
        <v>43</v>
      </c>
      <c r="F602" s="51" t="e">
        <f>+VLOOKUP(C602,'[1]CRUCE RIESGOS'!$F$4:$G$281,2,FALSE)</f>
        <v>#N/A</v>
      </c>
    </row>
    <row r="603" spans="1:6" ht="30" x14ac:dyDescent="0.2">
      <c r="A603" s="94" t="s">
        <v>548</v>
      </c>
      <c r="B603" s="98" t="s">
        <v>409</v>
      </c>
      <c r="C603" s="50" t="s">
        <v>911</v>
      </c>
      <c r="D603" s="104" t="s">
        <v>11</v>
      </c>
      <c r="E603" s="104" t="s">
        <v>1841</v>
      </c>
      <c r="F603" s="51" t="e">
        <f>+VLOOKUP(C603,'[1]CRUCE RIESGOS'!$F$4:$G$281,2,FALSE)</f>
        <v>#N/A</v>
      </c>
    </row>
    <row r="604" spans="1:6" ht="42.75" x14ac:dyDescent="0.2">
      <c r="A604" s="94" t="s">
        <v>548</v>
      </c>
      <c r="B604" s="98" t="s">
        <v>409</v>
      </c>
      <c r="C604" s="85" t="s">
        <v>912</v>
      </c>
      <c r="D604" s="104" t="s">
        <v>12</v>
      </c>
      <c r="E604" s="104" t="s">
        <v>13</v>
      </c>
      <c r="F604" s="51" t="e">
        <f>+VLOOKUP(C604,'[1]CRUCE RIESGOS'!$F$4:$G$281,2,FALSE)</f>
        <v>#N/A</v>
      </c>
    </row>
    <row r="605" spans="1:6" ht="42.75" x14ac:dyDescent="0.2">
      <c r="A605" s="94" t="s">
        <v>548</v>
      </c>
      <c r="B605" s="98" t="s">
        <v>409</v>
      </c>
      <c r="C605" s="50" t="s">
        <v>913</v>
      </c>
      <c r="D605" s="104" t="s">
        <v>9</v>
      </c>
      <c r="E605" s="104" t="s">
        <v>15</v>
      </c>
      <c r="F605" s="51" t="e">
        <f>+VLOOKUP(C605,'[1]CRUCE RIESGOS'!$F$4:$G$281,2,FALSE)</f>
        <v>#N/A</v>
      </c>
    </row>
    <row r="606" spans="1:6" ht="30" x14ac:dyDescent="0.2">
      <c r="A606" s="94" t="s">
        <v>548</v>
      </c>
      <c r="B606" s="98" t="s">
        <v>409</v>
      </c>
      <c r="C606" s="85" t="s">
        <v>914</v>
      </c>
      <c r="D606" s="104" t="s">
        <v>1837</v>
      </c>
      <c r="E606" s="104" t="s">
        <v>52</v>
      </c>
      <c r="F606" s="51" t="e">
        <f>+VLOOKUP(C606,'[1]CRUCE RIESGOS'!$F$4:$G$281,2,FALSE)</f>
        <v>#N/A</v>
      </c>
    </row>
    <row r="607" spans="1:6" ht="42.75" x14ac:dyDescent="0.2">
      <c r="A607" s="94" t="s">
        <v>548</v>
      </c>
      <c r="B607" s="98" t="s">
        <v>409</v>
      </c>
      <c r="C607" s="85" t="s">
        <v>915</v>
      </c>
      <c r="D607" s="104" t="s">
        <v>1837</v>
      </c>
      <c r="E607" s="104" t="s">
        <v>71</v>
      </c>
      <c r="F607" s="51" t="e">
        <f>+VLOOKUP(C607,'[1]CRUCE RIESGOS'!$F$4:$G$281,2,FALSE)</f>
        <v>#N/A</v>
      </c>
    </row>
    <row r="608" spans="1:6" ht="42.75" x14ac:dyDescent="0.2">
      <c r="A608" s="94" t="s">
        <v>548</v>
      </c>
      <c r="B608" s="98" t="s">
        <v>409</v>
      </c>
      <c r="C608" s="85" t="s">
        <v>1888</v>
      </c>
      <c r="D608" s="104" t="s">
        <v>11</v>
      </c>
      <c r="E608" s="104" t="s">
        <v>1639</v>
      </c>
      <c r="F608" s="51" t="e">
        <f>+VLOOKUP(C608,'[1]CRUCE RIESGOS'!$F$4:$G$281,2,FALSE)</f>
        <v>#N/A</v>
      </c>
    </row>
    <row r="609" spans="1:6" ht="30" x14ac:dyDescent="0.2">
      <c r="A609" s="94" t="s">
        <v>548</v>
      </c>
      <c r="B609" s="98" t="s">
        <v>409</v>
      </c>
      <c r="C609" s="50" t="s">
        <v>909</v>
      </c>
      <c r="D609" s="104" t="s">
        <v>9</v>
      </c>
      <c r="E609" s="104" t="s">
        <v>173</v>
      </c>
      <c r="F609" s="51" t="e">
        <f>+VLOOKUP(C609,'[1]CRUCE RIESGOS'!$F$4:$G$281,2,FALSE)</f>
        <v>#N/A</v>
      </c>
    </row>
    <row r="610" spans="1:6" ht="42.75" x14ac:dyDescent="0.2">
      <c r="A610" s="94" t="s">
        <v>548</v>
      </c>
      <c r="B610" s="98" t="s">
        <v>423</v>
      </c>
      <c r="C610" s="50" t="s">
        <v>917</v>
      </c>
      <c r="D610" s="104" t="s">
        <v>12</v>
      </c>
      <c r="E610" s="104" t="s">
        <v>32</v>
      </c>
      <c r="F610" s="51" t="e">
        <f>+VLOOKUP(C610,'[1]CRUCE RIESGOS'!$F$4:$G$281,2,FALSE)</f>
        <v>#N/A</v>
      </c>
    </row>
    <row r="611" spans="1:6" ht="30" x14ac:dyDescent="0.2">
      <c r="A611" s="94" t="s">
        <v>548</v>
      </c>
      <c r="B611" s="98" t="s">
        <v>423</v>
      </c>
      <c r="C611" s="50" t="s">
        <v>918</v>
      </c>
      <c r="D611" s="104" t="s">
        <v>9</v>
      </c>
      <c r="E611" s="104" t="s">
        <v>173</v>
      </c>
      <c r="F611" s="51" t="e">
        <f>+VLOOKUP(C611,'[1]CRUCE RIESGOS'!$F$4:$G$281,2,FALSE)</f>
        <v>#N/A</v>
      </c>
    </row>
    <row r="612" spans="1:6" ht="30" x14ac:dyDescent="0.2">
      <c r="A612" s="94" t="s">
        <v>548</v>
      </c>
      <c r="B612" s="98" t="s">
        <v>423</v>
      </c>
      <c r="C612" s="50" t="s">
        <v>919</v>
      </c>
      <c r="D612" s="104" t="s">
        <v>59</v>
      </c>
      <c r="E612" s="104" t="s">
        <v>293</v>
      </c>
      <c r="F612" s="51" t="e">
        <f>+VLOOKUP(C612,'[1]CRUCE RIESGOS'!$F$4:$G$281,2,FALSE)</f>
        <v>#N/A</v>
      </c>
    </row>
    <row r="613" spans="1:6" ht="42.75" x14ac:dyDescent="0.2">
      <c r="A613" s="94" t="s">
        <v>548</v>
      </c>
      <c r="B613" s="98" t="s">
        <v>423</v>
      </c>
      <c r="C613" s="50" t="s">
        <v>920</v>
      </c>
      <c r="D613" s="104" t="s">
        <v>9</v>
      </c>
      <c r="E613" s="104" t="s">
        <v>15</v>
      </c>
      <c r="F613" s="51" t="e">
        <f>+VLOOKUP(C613,'[1]CRUCE RIESGOS'!$F$4:$G$281,2,FALSE)</f>
        <v>#N/A</v>
      </c>
    </row>
    <row r="614" spans="1:6" ht="42.75" x14ac:dyDescent="0.2">
      <c r="A614" s="94" t="s">
        <v>548</v>
      </c>
      <c r="B614" s="98" t="s">
        <v>423</v>
      </c>
      <c r="C614" s="50" t="s">
        <v>921</v>
      </c>
      <c r="D614" s="104" t="s">
        <v>12</v>
      </c>
      <c r="E614" s="104" t="s">
        <v>13</v>
      </c>
      <c r="F614" s="51" t="e">
        <f>+VLOOKUP(C614,'[1]CRUCE RIESGOS'!$F$4:$G$281,2,FALSE)</f>
        <v>#N/A</v>
      </c>
    </row>
    <row r="615" spans="1:6" ht="30" x14ac:dyDescent="0.2">
      <c r="A615" s="94" t="s">
        <v>548</v>
      </c>
      <c r="B615" s="98" t="s">
        <v>423</v>
      </c>
      <c r="C615" s="50" t="s">
        <v>922</v>
      </c>
      <c r="D615" s="104" t="s">
        <v>9</v>
      </c>
      <c r="E615" s="104" t="s">
        <v>173</v>
      </c>
      <c r="F615" s="51" t="e">
        <f>+VLOOKUP(C615,'[1]CRUCE RIESGOS'!$F$4:$G$281,2,FALSE)</f>
        <v>#N/A</v>
      </c>
    </row>
    <row r="616" spans="1:6" ht="30" x14ac:dyDescent="0.2">
      <c r="A616" s="94" t="s">
        <v>548</v>
      </c>
      <c r="B616" s="98" t="s">
        <v>423</v>
      </c>
      <c r="C616" s="50" t="s">
        <v>923</v>
      </c>
      <c r="D616" s="104" t="s">
        <v>9</v>
      </c>
      <c r="E616" s="104" t="s">
        <v>18</v>
      </c>
      <c r="F616" s="51" t="e">
        <f>+VLOOKUP(C616,'[1]CRUCE RIESGOS'!$F$4:$G$281,2,FALSE)</f>
        <v>#N/A</v>
      </c>
    </row>
    <row r="617" spans="1:6" ht="30" x14ac:dyDescent="0.2">
      <c r="A617" s="94" t="s">
        <v>548</v>
      </c>
      <c r="B617" s="98" t="s">
        <v>423</v>
      </c>
      <c r="C617" s="50" t="s">
        <v>924</v>
      </c>
      <c r="D617" s="104" t="s">
        <v>1837</v>
      </c>
      <c r="E617" s="104" t="s">
        <v>20</v>
      </c>
      <c r="F617" s="51"/>
    </row>
    <row r="618" spans="1:6" ht="42.75" x14ac:dyDescent="0.2">
      <c r="A618" s="94" t="s">
        <v>548</v>
      </c>
      <c r="B618" s="98" t="s">
        <v>423</v>
      </c>
      <c r="C618" s="50" t="s">
        <v>925</v>
      </c>
      <c r="D618" s="104" t="s">
        <v>12</v>
      </c>
      <c r="E618" s="104" t="s">
        <v>32</v>
      </c>
      <c r="F618" s="51" t="e">
        <f>+VLOOKUP(C618,'[1]CRUCE RIESGOS'!$F$4:$G$281,2,FALSE)</f>
        <v>#N/A</v>
      </c>
    </row>
    <row r="619" spans="1:6" ht="30" x14ac:dyDescent="0.2">
      <c r="A619" s="94" t="s">
        <v>548</v>
      </c>
      <c r="B619" s="98" t="s">
        <v>441</v>
      </c>
      <c r="C619" s="85" t="s">
        <v>929</v>
      </c>
      <c r="D619" s="104" t="s">
        <v>11</v>
      </c>
      <c r="E619" s="104" t="s">
        <v>45</v>
      </c>
      <c r="F619" s="51" t="e">
        <f>+VLOOKUP(C619,'[1]CRUCE RIESGOS'!$F$4:$G$281,2,FALSE)</f>
        <v>#N/A</v>
      </c>
    </row>
    <row r="620" spans="1:6" ht="42.75" x14ac:dyDescent="0.2">
      <c r="A620" s="94" t="s">
        <v>548</v>
      </c>
      <c r="B620" s="98" t="s">
        <v>441</v>
      </c>
      <c r="C620" s="50" t="s">
        <v>1889</v>
      </c>
      <c r="D620" s="104" t="s">
        <v>12</v>
      </c>
      <c r="E620" s="104" t="s">
        <v>714</v>
      </c>
      <c r="F620" s="51" t="e">
        <f>+VLOOKUP(C620,'[1]CRUCE RIESGOS'!$F$4:$G$281,2,FALSE)</f>
        <v>#N/A</v>
      </c>
    </row>
    <row r="621" spans="1:6" ht="30" x14ac:dyDescent="0.2">
      <c r="A621" s="94" t="s">
        <v>548</v>
      </c>
      <c r="B621" s="98" t="s">
        <v>441</v>
      </c>
      <c r="C621" s="50" t="s">
        <v>1890</v>
      </c>
      <c r="D621" s="104" t="s">
        <v>11</v>
      </c>
      <c r="E621" s="104" t="s">
        <v>1639</v>
      </c>
      <c r="F621" s="51" t="e">
        <f>+VLOOKUP(C621,'[1]CRUCE RIESGOS'!$F$4:$G$281,2,FALSE)</f>
        <v>#N/A</v>
      </c>
    </row>
    <row r="622" spans="1:6" ht="28.5" customHeight="1" x14ac:dyDescent="0.2">
      <c r="A622" s="94" t="s">
        <v>548</v>
      </c>
      <c r="B622" s="98" t="s">
        <v>441</v>
      </c>
      <c r="C622" s="85" t="s">
        <v>932</v>
      </c>
      <c r="D622" s="104" t="s">
        <v>9</v>
      </c>
      <c r="E622" s="104" t="s">
        <v>18</v>
      </c>
      <c r="F622" s="51" t="e">
        <f>+VLOOKUP(C622,'[1]CRUCE RIESGOS'!$F$4:$G$281,2,FALSE)</f>
        <v>#N/A</v>
      </c>
    </row>
    <row r="623" spans="1:6" ht="42.75" x14ac:dyDescent="0.2">
      <c r="A623" s="94" t="s">
        <v>548</v>
      </c>
      <c r="B623" s="98" t="s">
        <v>441</v>
      </c>
      <c r="C623" s="85" t="s">
        <v>933</v>
      </c>
      <c r="D623" s="104" t="s">
        <v>9</v>
      </c>
      <c r="E623" s="104" t="s">
        <v>26</v>
      </c>
      <c r="F623" s="51" t="e">
        <f>+VLOOKUP(C623,'[1]CRUCE RIESGOS'!$F$4:$G$281,2,FALSE)</f>
        <v>#N/A</v>
      </c>
    </row>
    <row r="624" spans="1:6" ht="42.75" x14ac:dyDescent="0.2">
      <c r="A624" s="94" t="s">
        <v>548</v>
      </c>
      <c r="B624" s="98" t="s">
        <v>441</v>
      </c>
      <c r="C624" s="50" t="s">
        <v>934</v>
      </c>
      <c r="D624" s="104" t="s">
        <v>12</v>
      </c>
      <c r="E624" s="104" t="s">
        <v>32</v>
      </c>
      <c r="F624" s="51" t="e">
        <f>+VLOOKUP(C624,'[1]CRUCE RIESGOS'!$F$4:$G$281,2,FALSE)</f>
        <v>#N/A</v>
      </c>
    </row>
    <row r="625" spans="1:6" ht="30" x14ac:dyDescent="0.2">
      <c r="A625" s="94" t="s">
        <v>548</v>
      </c>
      <c r="B625" s="98" t="s">
        <v>441</v>
      </c>
      <c r="C625" s="50" t="s">
        <v>935</v>
      </c>
      <c r="D625" s="104" t="s">
        <v>9</v>
      </c>
      <c r="E625" s="104" t="s">
        <v>145</v>
      </c>
      <c r="F625" s="51"/>
    </row>
    <row r="626" spans="1:6" ht="42.75" x14ac:dyDescent="0.2">
      <c r="A626" s="94" t="s">
        <v>548</v>
      </c>
      <c r="B626" s="98" t="s">
        <v>441</v>
      </c>
      <c r="C626" s="85" t="s">
        <v>1891</v>
      </c>
      <c r="D626" s="104" t="s">
        <v>12</v>
      </c>
      <c r="E626" s="104" t="s">
        <v>32</v>
      </c>
      <c r="F626" s="51" t="e">
        <f>+VLOOKUP(C626,'[1]CRUCE RIESGOS'!$F$4:$G$281,2,FALSE)</f>
        <v>#N/A</v>
      </c>
    </row>
    <row r="627" spans="1:6" ht="42.75" x14ac:dyDescent="0.2">
      <c r="A627" s="94" t="s">
        <v>548</v>
      </c>
      <c r="B627" s="98" t="s">
        <v>455</v>
      </c>
      <c r="C627" s="85" t="s">
        <v>938</v>
      </c>
      <c r="D627" s="104" t="s">
        <v>16</v>
      </c>
      <c r="E627" s="104" t="s">
        <v>144</v>
      </c>
      <c r="F627" s="51" t="e">
        <f>+VLOOKUP(C627,'[1]CRUCE RIESGOS'!$F$4:$G$281,2,FALSE)</f>
        <v>#N/A</v>
      </c>
    </row>
    <row r="628" spans="1:6" ht="42.75" x14ac:dyDescent="0.2">
      <c r="A628" s="94" t="s">
        <v>548</v>
      </c>
      <c r="B628" s="98" t="s">
        <v>455</v>
      </c>
      <c r="C628" s="50" t="s">
        <v>940</v>
      </c>
      <c r="D628" s="104" t="s">
        <v>11</v>
      </c>
      <c r="E628" s="104" t="s">
        <v>1841</v>
      </c>
      <c r="F628" s="51" t="e">
        <f>+VLOOKUP(C628,'[1]CRUCE RIESGOS'!$F$4:$G$281,2,FALSE)</f>
        <v>#N/A</v>
      </c>
    </row>
    <row r="629" spans="1:6" ht="42.75" x14ac:dyDescent="0.2">
      <c r="A629" s="94" t="s">
        <v>548</v>
      </c>
      <c r="B629" s="98" t="s">
        <v>455</v>
      </c>
      <c r="C629" s="85" t="s">
        <v>941</v>
      </c>
      <c r="D629" s="104" t="s">
        <v>12</v>
      </c>
      <c r="E629" s="104" t="s">
        <v>1573</v>
      </c>
      <c r="F629" s="51" t="e">
        <f>+VLOOKUP(C629,'[1]CRUCE RIESGOS'!$F$4:$G$281,2,FALSE)</f>
        <v>#N/A</v>
      </c>
    </row>
    <row r="630" spans="1:6" ht="42.75" x14ac:dyDescent="0.2">
      <c r="A630" s="94" t="s">
        <v>548</v>
      </c>
      <c r="B630" s="98" t="s">
        <v>455</v>
      </c>
      <c r="C630" s="50" t="s">
        <v>942</v>
      </c>
      <c r="D630" s="104" t="s">
        <v>12</v>
      </c>
      <c r="E630" s="104" t="s">
        <v>35</v>
      </c>
      <c r="F630" s="51" t="e">
        <f>+VLOOKUP(C630,'[1]CRUCE RIESGOS'!$F$4:$G$281,2,FALSE)</f>
        <v>#N/A</v>
      </c>
    </row>
    <row r="631" spans="1:6" ht="42.75" x14ac:dyDescent="0.2">
      <c r="A631" s="94" t="s">
        <v>548</v>
      </c>
      <c r="B631" s="98" t="s">
        <v>455</v>
      </c>
      <c r="C631" s="50" t="s">
        <v>943</v>
      </c>
      <c r="D631" s="104" t="s">
        <v>9</v>
      </c>
      <c r="E631" s="104" t="s">
        <v>18</v>
      </c>
      <c r="F631" s="51" t="e">
        <f>+VLOOKUP(C631,'[1]CRUCE RIESGOS'!$F$4:$G$281,2,FALSE)</f>
        <v>#N/A</v>
      </c>
    </row>
    <row r="632" spans="1:6" ht="57" x14ac:dyDescent="0.2">
      <c r="A632" s="94" t="s">
        <v>548</v>
      </c>
      <c r="B632" s="98" t="s">
        <v>455</v>
      </c>
      <c r="C632" s="50" t="s">
        <v>944</v>
      </c>
      <c r="D632" s="104" t="s">
        <v>1837</v>
      </c>
      <c r="E632" s="104" t="s">
        <v>70</v>
      </c>
      <c r="F632" s="51" t="e">
        <f>+VLOOKUP(C632,'[1]CRUCE RIESGOS'!$F$4:$G$281,2,FALSE)</f>
        <v>#N/A</v>
      </c>
    </row>
    <row r="633" spans="1:6" ht="42.75" x14ac:dyDescent="0.2">
      <c r="A633" s="94" t="s">
        <v>548</v>
      </c>
      <c r="B633" s="98" t="s">
        <v>455</v>
      </c>
      <c r="C633" s="85" t="s">
        <v>945</v>
      </c>
      <c r="D633" s="104" t="s">
        <v>12</v>
      </c>
      <c r="E633" s="104" t="s">
        <v>32</v>
      </c>
      <c r="F633" s="51" t="e">
        <f>+VLOOKUP(C633,'[1]CRUCE RIESGOS'!$F$4:$G$281,2,FALSE)</f>
        <v>#N/A</v>
      </c>
    </row>
    <row r="634" spans="1:6" ht="30" x14ac:dyDescent="0.2">
      <c r="A634" s="94" t="s">
        <v>548</v>
      </c>
      <c r="B634" s="98" t="s">
        <v>455</v>
      </c>
      <c r="C634" s="50" t="s">
        <v>946</v>
      </c>
      <c r="D634" s="104" t="s">
        <v>1837</v>
      </c>
      <c r="E634" s="104" t="s">
        <v>52</v>
      </c>
      <c r="F634" s="51" t="e">
        <f>+VLOOKUP(C634,'[1]CRUCE RIESGOS'!$F$4:$G$281,2,FALSE)</f>
        <v>#N/A</v>
      </c>
    </row>
    <row r="635" spans="1:6" ht="30" x14ac:dyDescent="0.2">
      <c r="A635" s="94" t="s">
        <v>548</v>
      </c>
      <c r="B635" s="98" t="s">
        <v>455</v>
      </c>
      <c r="C635" s="50" t="s">
        <v>947</v>
      </c>
      <c r="D635" s="104" t="s">
        <v>1837</v>
      </c>
      <c r="E635" s="104" t="s">
        <v>1846</v>
      </c>
      <c r="F635" s="51" t="e">
        <f>+VLOOKUP(C635,'[1]CRUCE RIESGOS'!$F$4:$G$281,2,FALSE)</f>
        <v>#N/A</v>
      </c>
    </row>
    <row r="636" spans="1:6" ht="30" x14ac:dyDescent="0.2">
      <c r="A636" s="94" t="s">
        <v>548</v>
      </c>
      <c r="B636" s="98" t="s">
        <v>455</v>
      </c>
      <c r="C636" s="50" t="s">
        <v>939</v>
      </c>
      <c r="D636" s="104" t="s">
        <v>9</v>
      </c>
      <c r="E636" s="104" t="s">
        <v>10</v>
      </c>
      <c r="F636" s="51" t="e">
        <f>+VLOOKUP(C636,'[1]CRUCE RIESGOS'!$F$4:$G$281,2,FALSE)</f>
        <v>#N/A</v>
      </c>
    </row>
    <row r="637" spans="1:6" ht="30" x14ac:dyDescent="0.2">
      <c r="A637" s="94" t="s">
        <v>548</v>
      </c>
      <c r="B637" s="98" t="s">
        <v>455</v>
      </c>
      <c r="C637" s="85" t="s">
        <v>948</v>
      </c>
      <c r="D637" s="104" t="s">
        <v>11</v>
      </c>
      <c r="E637" s="104" t="s">
        <v>1841</v>
      </c>
      <c r="F637" s="51" t="e">
        <f>+VLOOKUP(C637,'[1]CRUCE RIESGOS'!$F$4:$G$281,2,FALSE)</f>
        <v>#N/A</v>
      </c>
    </row>
    <row r="638" spans="1:6" ht="30" x14ac:dyDescent="0.2">
      <c r="A638" s="94" t="s">
        <v>548</v>
      </c>
      <c r="B638" s="98" t="s">
        <v>455</v>
      </c>
      <c r="C638" s="85" t="s">
        <v>949</v>
      </c>
      <c r="D638" s="104" t="s">
        <v>9</v>
      </c>
      <c r="E638" s="104" t="s">
        <v>26</v>
      </c>
      <c r="F638" s="51" t="e">
        <f>+VLOOKUP(C638,'[1]CRUCE RIESGOS'!$F$4:$G$281,2,FALSE)</f>
        <v>#N/A</v>
      </c>
    </row>
    <row r="639" spans="1:6" ht="30" x14ac:dyDescent="0.2">
      <c r="A639" s="94" t="s">
        <v>548</v>
      </c>
      <c r="B639" s="98" t="s">
        <v>455</v>
      </c>
      <c r="C639" s="85" t="s">
        <v>950</v>
      </c>
      <c r="D639" s="104" t="s">
        <v>1837</v>
      </c>
      <c r="E639" s="104" t="s">
        <v>70</v>
      </c>
      <c r="F639" s="51" t="e">
        <f>+VLOOKUP(C639,'[1]CRUCE RIESGOS'!$F$4:$G$281,2,FALSE)</f>
        <v>#N/A</v>
      </c>
    </row>
    <row r="640" spans="1:6" ht="30" x14ac:dyDescent="0.2">
      <c r="A640" s="94" t="s">
        <v>548</v>
      </c>
      <c r="B640" s="98" t="s">
        <v>481</v>
      </c>
      <c r="C640" s="50" t="s">
        <v>960</v>
      </c>
      <c r="D640" s="104" t="s">
        <v>59</v>
      </c>
      <c r="E640" s="104" t="s">
        <v>293</v>
      </c>
      <c r="F640" s="51" t="e">
        <f>+VLOOKUP(C640,'[1]CRUCE RIESGOS'!$F$4:$G$281,2,FALSE)</f>
        <v>#N/A</v>
      </c>
    </row>
    <row r="641" spans="1:6" ht="30" x14ac:dyDescent="0.2">
      <c r="A641" s="94" t="s">
        <v>548</v>
      </c>
      <c r="B641" s="98" t="s">
        <v>481</v>
      </c>
      <c r="C641" s="50" t="s">
        <v>961</v>
      </c>
      <c r="D641" s="104" t="s">
        <v>1837</v>
      </c>
      <c r="E641" s="104" t="s">
        <v>52</v>
      </c>
      <c r="F641" s="51" t="e">
        <f>+VLOOKUP(C641,'[1]CRUCE RIESGOS'!$F$4:$G$281,2,FALSE)</f>
        <v>#N/A</v>
      </c>
    </row>
    <row r="642" spans="1:6" ht="30" x14ac:dyDescent="0.2">
      <c r="A642" s="94" t="s">
        <v>548</v>
      </c>
      <c r="B642" s="98" t="s">
        <v>481</v>
      </c>
      <c r="C642" s="50" t="s">
        <v>978</v>
      </c>
      <c r="D642" s="104" t="s">
        <v>9</v>
      </c>
      <c r="E642" s="104" t="s">
        <v>173</v>
      </c>
      <c r="F642" s="51" t="e">
        <f>+VLOOKUP(C642,'[1]CRUCE RIESGOS'!$F$4:$G$281,2,FALSE)</f>
        <v>#N/A</v>
      </c>
    </row>
    <row r="643" spans="1:6" ht="30" x14ac:dyDescent="0.2">
      <c r="A643" s="94" t="s">
        <v>548</v>
      </c>
      <c r="B643" s="98" t="s">
        <v>481</v>
      </c>
      <c r="C643" s="50" t="s">
        <v>979</v>
      </c>
      <c r="D643" s="104" t="s">
        <v>9</v>
      </c>
      <c r="E643" s="104" t="s">
        <v>18</v>
      </c>
      <c r="F643" s="51" t="e">
        <f>+VLOOKUP(C643,'[1]CRUCE RIESGOS'!$F$4:$G$281,2,FALSE)</f>
        <v>#N/A</v>
      </c>
    </row>
    <row r="644" spans="1:6" ht="30" x14ac:dyDescent="0.2">
      <c r="A644" s="94" t="s">
        <v>548</v>
      </c>
      <c r="B644" s="98" t="s">
        <v>481</v>
      </c>
      <c r="C644" s="50" t="s">
        <v>962</v>
      </c>
      <c r="D644" s="104" t="s">
        <v>1837</v>
      </c>
      <c r="E644" s="104" t="s">
        <v>22</v>
      </c>
      <c r="F644" s="51" t="e">
        <f>+VLOOKUP(C644,'[1]CRUCE RIESGOS'!$F$4:$G$281,2,FALSE)</f>
        <v>#N/A</v>
      </c>
    </row>
    <row r="645" spans="1:6" ht="30" x14ac:dyDescent="0.2">
      <c r="A645" s="94" t="s">
        <v>548</v>
      </c>
      <c r="B645" s="98" t="s">
        <v>481</v>
      </c>
      <c r="C645" s="50" t="s">
        <v>963</v>
      </c>
      <c r="D645" s="104" t="s">
        <v>9</v>
      </c>
      <c r="E645" s="104" t="s">
        <v>10</v>
      </c>
      <c r="F645" s="51" t="e">
        <f>+VLOOKUP(C645,'[1]CRUCE RIESGOS'!$F$4:$G$281,2,FALSE)</f>
        <v>#N/A</v>
      </c>
    </row>
    <row r="646" spans="1:6" ht="30" x14ac:dyDescent="0.2">
      <c r="A646" s="94" t="s">
        <v>548</v>
      </c>
      <c r="B646" s="98" t="s">
        <v>481</v>
      </c>
      <c r="C646" s="50" t="s">
        <v>964</v>
      </c>
      <c r="D646" s="104" t="s">
        <v>9</v>
      </c>
      <c r="E646" s="104" t="s">
        <v>10</v>
      </c>
      <c r="F646" s="51" t="e">
        <f>+VLOOKUP(C646,'[1]CRUCE RIESGOS'!$F$4:$G$281,2,FALSE)</f>
        <v>#N/A</v>
      </c>
    </row>
    <row r="647" spans="1:6" ht="30" x14ac:dyDescent="0.2">
      <c r="A647" s="94" t="s">
        <v>548</v>
      </c>
      <c r="B647" s="98" t="s">
        <v>481</v>
      </c>
      <c r="C647" s="50" t="s">
        <v>965</v>
      </c>
      <c r="D647" s="104" t="s">
        <v>59</v>
      </c>
      <c r="E647" s="104" t="s">
        <v>293</v>
      </c>
      <c r="F647" s="51" t="e">
        <f>+VLOOKUP(C647,'[1]CRUCE RIESGOS'!$F$4:$G$281,2,FALSE)</f>
        <v>#N/A</v>
      </c>
    </row>
    <row r="648" spans="1:6" ht="30" x14ac:dyDescent="0.2">
      <c r="A648" s="94" t="s">
        <v>548</v>
      </c>
      <c r="B648" s="120" t="s">
        <v>481</v>
      </c>
      <c r="C648" s="50" t="s">
        <v>966</v>
      </c>
      <c r="D648" s="104" t="s">
        <v>1837</v>
      </c>
      <c r="E648" s="104" t="s">
        <v>1846</v>
      </c>
      <c r="F648" s="51" t="e">
        <f>+VLOOKUP(C648,'[1]CRUCE RIESGOS'!$F$4:$G$281,2,FALSE)</f>
        <v>#N/A</v>
      </c>
    </row>
    <row r="649" spans="1:6" ht="30" x14ac:dyDescent="0.2">
      <c r="A649" s="94" t="s">
        <v>548</v>
      </c>
      <c r="B649" s="98" t="s">
        <v>481</v>
      </c>
      <c r="C649" s="50" t="s">
        <v>967</v>
      </c>
      <c r="D649" s="104" t="s">
        <v>9</v>
      </c>
      <c r="E649" s="104" t="s">
        <v>15</v>
      </c>
      <c r="F649" s="51" t="e">
        <f>+VLOOKUP(C649,'[1]CRUCE RIESGOS'!$F$4:$G$281,2,FALSE)</f>
        <v>#N/A</v>
      </c>
    </row>
    <row r="650" spans="1:6" ht="30" x14ac:dyDescent="0.2">
      <c r="A650" s="94" t="s">
        <v>548</v>
      </c>
      <c r="B650" s="98" t="s">
        <v>481</v>
      </c>
      <c r="C650" s="50" t="s">
        <v>1892</v>
      </c>
      <c r="D650" s="104" t="s">
        <v>9</v>
      </c>
      <c r="E650" s="104" t="s">
        <v>10</v>
      </c>
      <c r="F650" s="51" t="e">
        <f>+VLOOKUP(C650,'[1]CRUCE RIESGOS'!$F$4:$G$281,2,FALSE)</f>
        <v>#N/A</v>
      </c>
    </row>
    <row r="651" spans="1:6" ht="30" x14ac:dyDescent="0.2">
      <c r="A651" s="94" t="s">
        <v>548</v>
      </c>
      <c r="B651" s="98" t="s">
        <v>481</v>
      </c>
      <c r="C651" s="50" t="s">
        <v>969</v>
      </c>
      <c r="D651" s="104" t="s">
        <v>1837</v>
      </c>
      <c r="E651" s="104" t="s">
        <v>52</v>
      </c>
      <c r="F651" s="51" t="e">
        <f>+VLOOKUP(C651,'[1]CRUCE RIESGOS'!$F$4:$G$281,2,FALSE)</f>
        <v>#N/A</v>
      </c>
    </row>
    <row r="652" spans="1:6" ht="42.75" x14ac:dyDescent="0.2">
      <c r="A652" s="94" t="s">
        <v>548</v>
      </c>
      <c r="B652" s="98" t="s">
        <v>481</v>
      </c>
      <c r="C652" s="50" t="s">
        <v>970</v>
      </c>
      <c r="D652" s="104" t="s">
        <v>12</v>
      </c>
      <c r="E652" s="104" t="s">
        <v>714</v>
      </c>
      <c r="F652" s="51" t="e">
        <f>+VLOOKUP(C652,'[1]CRUCE RIESGOS'!$F$4:$G$281,2,FALSE)</f>
        <v>#N/A</v>
      </c>
    </row>
    <row r="653" spans="1:6" ht="30" x14ac:dyDescent="0.2">
      <c r="A653" s="94" t="s">
        <v>548</v>
      </c>
      <c r="B653" s="98" t="s">
        <v>481</v>
      </c>
      <c r="C653" s="50" t="s">
        <v>1893</v>
      </c>
      <c r="D653" s="104" t="s">
        <v>1837</v>
      </c>
      <c r="E653" s="104" t="s">
        <v>70</v>
      </c>
      <c r="F653" s="51" t="e">
        <f>+VLOOKUP(C653,'[1]CRUCE RIESGOS'!$F$4:$G$281,2,FALSE)</f>
        <v>#N/A</v>
      </c>
    </row>
    <row r="654" spans="1:6" ht="30" x14ac:dyDescent="0.2">
      <c r="A654" s="94" t="s">
        <v>548</v>
      </c>
      <c r="B654" s="98" t="s">
        <v>481</v>
      </c>
      <c r="C654" s="50" t="s">
        <v>972</v>
      </c>
      <c r="D654" s="104" t="s">
        <v>11</v>
      </c>
      <c r="E654" s="104" t="s">
        <v>1841</v>
      </c>
      <c r="F654" s="51" t="e">
        <f>+VLOOKUP(C654,'[1]CRUCE RIESGOS'!$F$4:$G$281,2,FALSE)</f>
        <v>#N/A</v>
      </c>
    </row>
    <row r="655" spans="1:6" ht="30" x14ac:dyDescent="0.2">
      <c r="A655" s="94" t="s">
        <v>548</v>
      </c>
      <c r="B655" s="98" t="s">
        <v>481</v>
      </c>
      <c r="C655" s="50" t="s">
        <v>973</v>
      </c>
      <c r="D655" s="104" t="s">
        <v>16</v>
      </c>
      <c r="E655" s="104" t="s">
        <v>144</v>
      </c>
      <c r="F655" s="51" t="e">
        <f>+VLOOKUP(C655,'[1]CRUCE RIESGOS'!$F$4:$G$281,2,FALSE)</f>
        <v>#N/A</v>
      </c>
    </row>
    <row r="656" spans="1:6" ht="30" x14ac:dyDescent="0.2">
      <c r="A656" s="94" t="s">
        <v>548</v>
      </c>
      <c r="B656" s="120" t="s">
        <v>481</v>
      </c>
      <c r="C656" s="96" t="s">
        <v>974</v>
      </c>
      <c r="D656" s="104" t="s">
        <v>1837</v>
      </c>
      <c r="E656" s="104" t="s">
        <v>1846</v>
      </c>
      <c r="F656" s="51" t="e">
        <f>+VLOOKUP(C656,'[1]CRUCE RIESGOS'!$F$4:$G$281,2,FALSE)</f>
        <v>#N/A</v>
      </c>
    </row>
    <row r="657" spans="1:6" ht="30" x14ac:dyDescent="0.2">
      <c r="A657" s="94" t="s">
        <v>548</v>
      </c>
      <c r="B657" s="120" t="s">
        <v>481</v>
      </c>
      <c r="C657" s="85" t="s">
        <v>975</v>
      </c>
      <c r="D657" s="104" t="s">
        <v>9</v>
      </c>
      <c r="E657" s="104" t="s">
        <v>33</v>
      </c>
      <c r="F657" s="51" t="e">
        <f>+VLOOKUP(C657,'[1]CRUCE RIESGOS'!$F$4:$G$281,2,FALSE)</f>
        <v>#N/A</v>
      </c>
    </row>
    <row r="658" spans="1:6" ht="30" x14ac:dyDescent="0.2">
      <c r="A658" s="94" t="s">
        <v>548</v>
      </c>
      <c r="B658" s="120" t="s">
        <v>481</v>
      </c>
      <c r="C658" s="85" t="s">
        <v>976</v>
      </c>
      <c r="D658" s="104" t="s">
        <v>9</v>
      </c>
      <c r="E658" s="104" t="s">
        <v>10</v>
      </c>
      <c r="F658" s="51" t="e">
        <f>+VLOOKUP(C658,'[1]CRUCE RIESGOS'!$F$4:$G$281,2,FALSE)</f>
        <v>#N/A</v>
      </c>
    </row>
    <row r="659" spans="1:6" ht="30" x14ac:dyDescent="0.2">
      <c r="A659" s="94" t="s">
        <v>548</v>
      </c>
      <c r="B659" s="120" t="s">
        <v>481</v>
      </c>
      <c r="C659" s="85" t="s">
        <v>977</v>
      </c>
      <c r="D659" s="104" t="s">
        <v>9</v>
      </c>
      <c r="E659" s="104" t="s">
        <v>173</v>
      </c>
      <c r="F659" s="51" t="e">
        <f>+VLOOKUP(C659,'[1]CRUCE RIESGOS'!$F$4:$G$281,2,FALSE)</f>
        <v>#N/A</v>
      </c>
    </row>
    <row r="660" spans="1:6" ht="45" x14ac:dyDescent="0.2">
      <c r="A660" s="94" t="s">
        <v>548</v>
      </c>
      <c r="B660" s="120" t="s">
        <v>507</v>
      </c>
      <c r="C660" s="106" t="s">
        <v>960</v>
      </c>
      <c r="D660" s="104" t="s">
        <v>59</v>
      </c>
      <c r="E660" s="104" t="s">
        <v>293</v>
      </c>
      <c r="F660" s="51"/>
    </row>
    <row r="661" spans="1:6" ht="45" x14ac:dyDescent="0.2">
      <c r="A661" s="94" t="s">
        <v>548</v>
      </c>
      <c r="B661" s="120" t="s">
        <v>507</v>
      </c>
      <c r="C661" s="106" t="s">
        <v>961</v>
      </c>
      <c r="D661" s="104" t="s">
        <v>1837</v>
      </c>
      <c r="E661" s="104" t="s">
        <v>52</v>
      </c>
      <c r="F661" s="51"/>
    </row>
    <row r="662" spans="1:6" ht="75" customHeight="1" x14ac:dyDescent="0.2">
      <c r="A662" s="94" t="s">
        <v>548</v>
      </c>
      <c r="B662" s="120" t="s">
        <v>507</v>
      </c>
      <c r="C662" s="106" t="s">
        <v>981</v>
      </c>
      <c r="D662" s="104" t="s">
        <v>1837</v>
      </c>
      <c r="E662" s="104" t="s">
        <v>1846</v>
      </c>
      <c r="F662" s="51"/>
    </row>
    <row r="663" spans="1:6" ht="45" x14ac:dyDescent="0.2">
      <c r="A663" s="94" t="s">
        <v>548</v>
      </c>
      <c r="B663" s="120" t="s">
        <v>507</v>
      </c>
      <c r="C663" s="106" t="s">
        <v>982</v>
      </c>
      <c r="D663" s="104" t="s">
        <v>9</v>
      </c>
      <c r="E663" s="104" t="s">
        <v>145</v>
      </c>
      <c r="F663" s="51"/>
    </row>
    <row r="664" spans="1:6" ht="45" x14ac:dyDescent="0.2">
      <c r="A664" s="94" t="s">
        <v>548</v>
      </c>
      <c r="B664" s="120" t="s">
        <v>507</v>
      </c>
      <c r="C664" s="106" t="s">
        <v>983</v>
      </c>
      <c r="D664" s="104" t="s">
        <v>9</v>
      </c>
      <c r="E664" s="104" t="s">
        <v>18</v>
      </c>
      <c r="F664" s="51"/>
    </row>
    <row r="665" spans="1:6" ht="45" x14ac:dyDescent="0.2">
      <c r="A665" s="94" t="s">
        <v>548</v>
      </c>
      <c r="B665" s="120" t="s">
        <v>507</v>
      </c>
      <c r="C665" s="106" t="s">
        <v>963</v>
      </c>
      <c r="D665" s="104" t="s">
        <v>9</v>
      </c>
      <c r="E665" s="104" t="s">
        <v>173</v>
      </c>
      <c r="F665" s="51"/>
    </row>
    <row r="666" spans="1:6" ht="45" x14ac:dyDescent="0.2">
      <c r="A666" s="94" t="s">
        <v>548</v>
      </c>
      <c r="B666" s="120" t="s">
        <v>507</v>
      </c>
      <c r="C666" s="106" t="s">
        <v>964</v>
      </c>
      <c r="D666" s="104" t="s">
        <v>9</v>
      </c>
      <c r="E666" s="104" t="s">
        <v>10</v>
      </c>
      <c r="F666" s="51"/>
    </row>
    <row r="667" spans="1:6" ht="45" x14ac:dyDescent="0.2">
      <c r="A667" s="94" t="s">
        <v>548</v>
      </c>
      <c r="B667" s="120" t="s">
        <v>507</v>
      </c>
      <c r="C667" s="106" t="s">
        <v>965</v>
      </c>
      <c r="D667" s="104" t="s">
        <v>12</v>
      </c>
      <c r="E667" s="104" t="s">
        <v>13</v>
      </c>
      <c r="F667" s="51"/>
    </row>
    <row r="668" spans="1:6" ht="45" x14ac:dyDescent="0.2">
      <c r="A668" s="94" t="s">
        <v>548</v>
      </c>
      <c r="B668" s="120" t="s">
        <v>507</v>
      </c>
      <c r="C668" s="106" t="s">
        <v>984</v>
      </c>
      <c r="D668" s="104" t="s">
        <v>1837</v>
      </c>
      <c r="E668" s="104" t="s">
        <v>70</v>
      </c>
      <c r="F668" s="51"/>
    </row>
    <row r="669" spans="1:6" ht="45" x14ac:dyDescent="0.2">
      <c r="A669" s="94" t="s">
        <v>548</v>
      </c>
      <c r="B669" s="120" t="s">
        <v>507</v>
      </c>
      <c r="C669" s="106" t="s">
        <v>985</v>
      </c>
      <c r="D669" s="104" t="s">
        <v>1837</v>
      </c>
      <c r="E669" s="104" t="s">
        <v>52</v>
      </c>
      <c r="F669" s="51"/>
    </row>
    <row r="670" spans="1:6" ht="45" x14ac:dyDescent="0.2">
      <c r="A670" s="94" t="s">
        <v>548</v>
      </c>
      <c r="B670" s="120" t="s">
        <v>507</v>
      </c>
      <c r="C670" s="106" t="s">
        <v>986</v>
      </c>
      <c r="D670" s="104" t="s">
        <v>11</v>
      </c>
      <c r="E670" s="104" t="s">
        <v>1841</v>
      </c>
      <c r="F670" s="51"/>
    </row>
    <row r="671" spans="1:6" ht="45" x14ac:dyDescent="0.2">
      <c r="A671" s="94" t="s">
        <v>548</v>
      </c>
      <c r="B671" s="120" t="s">
        <v>507</v>
      </c>
      <c r="C671" s="106" t="s">
        <v>987</v>
      </c>
      <c r="D671" s="104" t="s">
        <v>11</v>
      </c>
      <c r="E671" s="104" t="s">
        <v>172</v>
      </c>
      <c r="F671" s="51"/>
    </row>
    <row r="672" spans="1:6" ht="45" x14ac:dyDescent="0.2">
      <c r="A672" s="94" t="s">
        <v>548</v>
      </c>
      <c r="B672" s="120" t="s">
        <v>507</v>
      </c>
      <c r="C672" s="106" t="s">
        <v>988</v>
      </c>
      <c r="D672" s="104" t="s">
        <v>9</v>
      </c>
      <c r="E672" s="104" t="s">
        <v>18</v>
      </c>
      <c r="F672" s="51"/>
    </row>
    <row r="673" spans="1:6" ht="45" x14ac:dyDescent="0.2">
      <c r="A673" s="94" t="s">
        <v>548</v>
      </c>
      <c r="B673" s="120" t="s">
        <v>507</v>
      </c>
      <c r="C673" s="106" t="s">
        <v>989</v>
      </c>
      <c r="D673" s="104" t="s">
        <v>42</v>
      </c>
      <c r="E673" s="104" t="s">
        <v>43</v>
      </c>
      <c r="F673" s="51"/>
    </row>
    <row r="674" spans="1:6" ht="45" x14ac:dyDescent="0.2">
      <c r="A674" s="94" t="s">
        <v>548</v>
      </c>
      <c r="B674" s="120" t="s">
        <v>507</v>
      </c>
      <c r="C674" s="106" t="s">
        <v>990</v>
      </c>
      <c r="D674" s="104" t="s">
        <v>1837</v>
      </c>
      <c r="E674" s="104" t="s">
        <v>70</v>
      </c>
      <c r="F674" s="51"/>
    </row>
    <row r="675" spans="1:6" ht="45" x14ac:dyDescent="0.2">
      <c r="A675" s="94" t="s">
        <v>548</v>
      </c>
      <c r="B675" s="120" t="s">
        <v>507</v>
      </c>
      <c r="C675" s="106" t="s">
        <v>991</v>
      </c>
      <c r="D675" s="104" t="s">
        <v>9</v>
      </c>
      <c r="E675" s="104" t="s">
        <v>173</v>
      </c>
      <c r="F675" s="51"/>
    </row>
    <row r="676" spans="1:6" ht="45" x14ac:dyDescent="0.2">
      <c r="A676" s="94" t="s">
        <v>548</v>
      </c>
      <c r="B676" s="120" t="s">
        <v>507</v>
      </c>
      <c r="C676" s="107" t="s">
        <v>992</v>
      </c>
      <c r="D676" s="104" t="s">
        <v>1837</v>
      </c>
      <c r="E676" s="104" t="s">
        <v>70</v>
      </c>
      <c r="F676" s="51"/>
    </row>
    <row r="677" spans="1:6" ht="45" x14ac:dyDescent="0.2">
      <c r="A677" s="94" t="s">
        <v>548</v>
      </c>
      <c r="B677" s="120" t="s">
        <v>507</v>
      </c>
      <c r="C677" s="107" t="s">
        <v>993</v>
      </c>
      <c r="D677" s="104" t="s">
        <v>1837</v>
      </c>
      <c r="E677" s="104" t="s">
        <v>563</v>
      </c>
      <c r="F677" s="51"/>
    </row>
    <row r="678" spans="1:6" ht="45" x14ac:dyDescent="0.2">
      <c r="A678" s="94" t="s">
        <v>548</v>
      </c>
      <c r="B678" s="120" t="s">
        <v>507</v>
      </c>
      <c r="C678" s="108" t="s">
        <v>994</v>
      </c>
      <c r="D678" s="104" t="s">
        <v>1837</v>
      </c>
      <c r="E678" s="104" t="s">
        <v>52</v>
      </c>
      <c r="F678" s="51"/>
    </row>
    <row r="679" spans="1:6" ht="45" x14ac:dyDescent="0.2">
      <c r="A679" s="94" t="s">
        <v>548</v>
      </c>
      <c r="B679" s="120" t="s">
        <v>507</v>
      </c>
      <c r="C679" s="108" t="s">
        <v>1894</v>
      </c>
      <c r="D679" s="104" t="s">
        <v>1837</v>
      </c>
      <c r="E679" s="104" t="s">
        <v>70</v>
      </c>
      <c r="F679" s="51"/>
    </row>
    <row r="680" spans="1:6" ht="42.75" x14ac:dyDescent="0.2">
      <c r="A680" s="94" t="s">
        <v>548</v>
      </c>
      <c r="B680" s="120" t="s">
        <v>541</v>
      </c>
      <c r="C680" s="122" t="s">
        <v>1895</v>
      </c>
      <c r="D680" s="104" t="s">
        <v>9</v>
      </c>
      <c r="E680" s="104" t="s">
        <v>10</v>
      </c>
      <c r="F680" s="51"/>
    </row>
    <row r="681" spans="1:6" ht="42.75" x14ac:dyDescent="0.2">
      <c r="A681" s="94" t="s">
        <v>548</v>
      </c>
      <c r="B681" s="120" t="s">
        <v>541</v>
      </c>
      <c r="C681" s="122" t="s">
        <v>1896</v>
      </c>
      <c r="D681" s="104" t="s">
        <v>12</v>
      </c>
      <c r="E681" s="104" t="s">
        <v>13</v>
      </c>
      <c r="F681" s="51"/>
    </row>
    <row r="682" spans="1:6" ht="30" x14ac:dyDescent="0.2">
      <c r="A682" s="94" t="s">
        <v>548</v>
      </c>
      <c r="B682" s="120" t="s">
        <v>541</v>
      </c>
      <c r="C682" s="122" t="s">
        <v>1018</v>
      </c>
      <c r="D682" s="104" t="s">
        <v>11</v>
      </c>
      <c r="E682" s="104" t="s">
        <v>1841</v>
      </c>
      <c r="F682" s="51"/>
    </row>
    <row r="683" spans="1:6" ht="42.75" x14ac:dyDescent="0.2">
      <c r="A683" s="94" t="s">
        <v>548</v>
      </c>
      <c r="B683" s="120" t="s">
        <v>541</v>
      </c>
      <c r="C683" s="122" t="s">
        <v>1897</v>
      </c>
      <c r="D683" s="104" t="s">
        <v>12</v>
      </c>
      <c r="E683" s="104" t="s">
        <v>32</v>
      </c>
      <c r="F683" s="51"/>
    </row>
    <row r="684" spans="1:6" ht="30" x14ac:dyDescent="0.2">
      <c r="A684" s="94" t="s">
        <v>548</v>
      </c>
      <c r="B684" s="120" t="s">
        <v>541</v>
      </c>
      <c r="C684" s="122" t="s">
        <v>1898</v>
      </c>
      <c r="D684" s="104" t="s">
        <v>11</v>
      </c>
      <c r="E684" s="104" t="s">
        <v>172</v>
      </c>
      <c r="F684" s="51"/>
    </row>
    <row r="685" spans="1:6" ht="30" x14ac:dyDescent="0.2">
      <c r="A685" s="94" t="s">
        <v>548</v>
      </c>
      <c r="B685" s="120" t="s">
        <v>541</v>
      </c>
      <c r="C685" s="122" t="s">
        <v>1899</v>
      </c>
      <c r="D685" s="104" t="s">
        <v>11</v>
      </c>
      <c r="E685" s="104" t="s">
        <v>172</v>
      </c>
      <c r="F685" s="51"/>
    </row>
    <row r="686" spans="1:6" ht="30" x14ac:dyDescent="0.2">
      <c r="A686" s="94" t="s">
        <v>548</v>
      </c>
      <c r="B686" s="120" t="s">
        <v>541</v>
      </c>
      <c r="C686" s="50" t="s">
        <v>1900</v>
      </c>
      <c r="D686" s="104" t="s">
        <v>1837</v>
      </c>
      <c r="E686" s="104" t="s">
        <v>22</v>
      </c>
      <c r="F686" s="51"/>
    </row>
    <row r="687" spans="1:6" ht="30" x14ac:dyDescent="0.2">
      <c r="A687" s="94" t="s">
        <v>548</v>
      </c>
      <c r="B687" s="120" t="s">
        <v>541</v>
      </c>
      <c r="C687" s="50" t="s">
        <v>1901</v>
      </c>
      <c r="D687" s="104" t="s">
        <v>9</v>
      </c>
      <c r="E687" s="104" t="s">
        <v>145</v>
      </c>
      <c r="F687" s="51"/>
    </row>
    <row r="688" spans="1:6" ht="30" x14ac:dyDescent="0.2">
      <c r="A688" s="94" t="s">
        <v>548</v>
      </c>
      <c r="B688" s="120" t="s">
        <v>541</v>
      </c>
      <c r="C688" s="50" t="s">
        <v>1902</v>
      </c>
      <c r="D688" s="104" t="s">
        <v>1837</v>
      </c>
      <c r="E688" s="104" t="s">
        <v>52</v>
      </c>
      <c r="F688" s="51"/>
    </row>
    <row r="689" spans="1:6" ht="30" x14ac:dyDescent="0.2">
      <c r="A689" s="94" t="s">
        <v>548</v>
      </c>
      <c r="B689" s="120" t="s">
        <v>541</v>
      </c>
      <c r="C689" s="85" t="s">
        <v>1903</v>
      </c>
      <c r="D689" s="104" t="s">
        <v>11</v>
      </c>
      <c r="E689" s="104" t="s">
        <v>142</v>
      </c>
      <c r="F689" s="51"/>
    </row>
    <row r="690" spans="1:6" ht="30" x14ac:dyDescent="0.2">
      <c r="A690" s="94" t="s">
        <v>548</v>
      </c>
      <c r="B690" s="120" t="s">
        <v>541</v>
      </c>
      <c r="C690" s="50" t="s">
        <v>1904</v>
      </c>
      <c r="D690" s="104" t="s">
        <v>1837</v>
      </c>
      <c r="E690" s="104" t="s">
        <v>20</v>
      </c>
      <c r="F690" s="51"/>
    </row>
    <row r="691" spans="1:6" ht="30" x14ac:dyDescent="0.2">
      <c r="A691" s="94" t="s">
        <v>548</v>
      </c>
      <c r="B691" s="120" t="s">
        <v>541</v>
      </c>
      <c r="C691" s="85" t="s">
        <v>1905</v>
      </c>
      <c r="D691" s="104" t="s">
        <v>11</v>
      </c>
      <c r="E691" s="104" t="s">
        <v>172</v>
      </c>
      <c r="F691" s="51"/>
    </row>
    <row r="692" spans="1:6" ht="57" x14ac:dyDescent="0.2">
      <c r="A692" s="94" t="s">
        <v>548</v>
      </c>
      <c r="B692" s="120" t="s">
        <v>541</v>
      </c>
      <c r="C692" s="85" t="s">
        <v>1906</v>
      </c>
      <c r="D692" s="104" t="s">
        <v>12</v>
      </c>
      <c r="E692" s="104" t="s">
        <v>93</v>
      </c>
      <c r="F692" s="51"/>
    </row>
    <row r="693" spans="1:6" ht="42.75" x14ac:dyDescent="0.2">
      <c r="A693" s="94" t="s">
        <v>548</v>
      </c>
      <c r="B693" s="120" t="s">
        <v>541</v>
      </c>
      <c r="C693" s="85" t="s">
        <v>1907</v>
      </c>
      <c r="D693" s="104" t="s">
        <v>1837</v>
      </c>
      <c r="E693" s="104" t="s">
        <v>70</v>
      </c>
      <c r="F693" s="51"/>
    </row>
    <row r="694" spans="1:6" ht="71.25" x14ac:dyDescent="0.2">
      <c r="A694" s="94" t="s">
        <v>548</v>
      </c>
      <c r="B694" s="120" t="s">
        <v>541</v>
      </c>
      <c r="C694" s="85" t="s">
        <v>1908</v>
      </c>
      <c r="D694" s="104" t="s">
        <v>9</v>
      </c>
      <c r="E694" s="104" t="s">
        <v>173</v>
      </c>
      <c r="F694" s="51"/>
    </row>
    <row r="695" spans="1:6" ht="45" x14ac:dyDescent="0.2">
      <c r="A695" s="94" t="s">
        <v>1019</v>
      </c>
      <c r="B695" s="98" t="s">
        <v>57</v>
      </c>
      <c r="C695" s="85" t="s">
        <v>1298</v>
      </c>
      <c r="D695" s="104" t="s">
        <v>1021</v>
      </c>
      <c r="E695" s="104" t="s">
        <v>70</v>
      </c>
      <c r="F695" s="51" t="e">
        <f>+VLOOKUP(C695,'[1]CRUCE RIESGOS'!$F$4:$G$281,2,FALSE)</f>
        <v>#N/A</v>
      </c>
    </row>
    <row r="696" spans="1:6" ht="45" x14ac:dyDescent="0.2">
      <c r="A696" s="94" t="s">
        <v>1019</v>
      </c>
      <c r="B696" s="98" t="s">
        <v>57</v>
      </c>
      <c r="C696" s="85" t="s">
        <v>1299</v>
      </c>
      <c r="D696" s="104" t="s">
        <v>1021</v>
      </c>
      <c r="E696" s="104" t="s">
        <v>70</v>
      </c>
      <c r="F696" s="51"/>
    </row>
    <row r="697" spans="1:6" ht="60" x14ac:dyDescent="0.2">
      <c r="A697" s="94" t="s">
        <v>1019</v>
      </c>
      <c r="B697" s="98" t="s">
        <v>237</v>
      </c>
      <c r="C697" s="50" t="s">
        <v>1020</v>
      </c>
      <c r="D697" s="104" t="s">
        <v>1021</v>
      </c>
      <c r="E697" s="104" t="s">
        <v>70</v>
      </c>
      <c r="F697" s="99" t="str">
        <f>+VLOOKUP(C697,'[1]CRUCE RIESGOS'!$F$4:$G$281,2,FALSE)</f>
        <v>Incumplimiento de las metas de proyección de presupuesto en la suscripción de convenios.</v>
      </c>
    </row>
    <row r="698" spans="1:6" ht="60" x14ac:dyDescent="0.2">
      <c r="A698" s="94" t="s">
        <v>1019</v>
      </c>
      <c r="B698" s="98" t="s">
        <v>237</v>
      </c>
      <c r="C698" s="50" t="s">
        <v>1032</v>
      </c>
      <c r="D698" s="104" t="s">
        <v>1022</v>
      </c>
      <c r="E698" s="104" t="s">
        <v>10</v>
      </c>
      <c r="F698" s="51" t="str">
        <f>+VLOOKUP(C698,'[1]CRUCE RIESGOS'!$F$4:$G$281,2,FALSE)</f>
        <v>Incumplimiento de las metas de proyección de presupuesto en la suscripción de convenios.</v>
      </c>
    </row>
    <row r="699" spans="1:6" ht="60" x14ac:dyDescent="0.2">
      <c r="A699" s="94" t="s">
        <v>1019</v>
      </c>
      <c r="B699" s="98" t="s">
        <v>237</v>
      </c>
      <c r="C699" s="50" t="s">
        <v>1027</v>
      </c>
      <c r="D699" s="104" t="s">
        <v>1022</v>
      </c>
      <c r="E699" s="104" t="s">
        <v>1023</v>
      </c>
      <c r="F699" s="51" t="e">
        <f>+VLOOKUP(C699,'[1]CRUCE RIESGOS'!$F$4:$G$281,2,FALSE)</f>
        <v>#N/A</v>
      </c>
    </row>
    <row r="700" spans="1:6" ht="60" x14ac:dyDescent="0.2">
      <c r="A700" s="94" t="s">
        <v>1019</v>
      </c>
      <c r="B700" s="98" t="s">
        <v>237</v>
      </c>
      <c r="C700" s="50" t="s">
        <v>1028</v>
      </c>
      <c r="D700" s="104" t="s">
        <v>1024</v>
      </c>
      <c r="E700" s="104" t="s">
        <v>1025</v>
      </c>
      <c r="F700" s="51" t="e">
        <f>+VLOOKUP(C700,'[1]CRUCE RIESGOS'!$F$4:$G$281,2,FALSE)</f>
        <v>#N/A</v>
      </c>
    </row>
    <row r="701" spans="1:6" ht="60" x14ac:dyDescent="0.2">
      <c r="A701" s="94" t="s">
        <v>1019</v>
      </c>
      <c r="B701" s="98" t="s">
        <v>237</v>
      </c>
      <c r="C701" s="50" t="s">
        <v>1029</v>
      </c>
      <c r="D701" s="104" t="s">
        <v>1021</v>
      </c>
      <c r="E701" s="104" t="s">
        <v>1026</v>
      </c>
      <c r="F701" s="51" t="str">
        <f>+VLOOKUP(C701,'[1]CRUCE RIESGOS'!$F$4:$G$281,2,FALSE)</f>
        <v>Incumplimiento de las metas de proyección de presupuesto en la suscripción de convenios.</v>
      </c>
    </row>
    <row r="702" spans="1:6" ht="60" x14ac:dyDescent="0.2">
      <c r="A702" s="94" t="s">
        <v>1019</v>
      </c>
      <c r="B702" s="98" t="s">
        <v>237</v>
      </c>
      <c r="C702" s="50" t="s">
        <v>1030</v>
      </c>
      <c r="D702" s="104" t="s">
        <v>1022</v>
      </c>
      <c r="E702" s="104" t="s">
        <v>1023</v>
      </c>
      <c r="F702" s="51" t="e">
        <f>+VLOOKUP(C702,'[1]CRUCE RIESGOS'!$F$4:$G$281,2,FALSE)</f>
        <v>#N/A</v>
      </c>
    </row>
    <row r="703" spans="1:6" ht="60" x14ac:dyDescent="0.2">
      <c r="A703" s="94" t="s">
        <v>1019</v>
      </c>
      <c r="B703" s="98" t="s">
        <v>237</v>
      </c>
      <c r="C703" s="50" t="s">
        <v>1031</v>
      </c>
      <c r="D703" s="104" t="s">
        <v>1022</v>
      </c>
      <c r="E703" s="104" t="s">
        <v>1023</v>
      </c>
      <c r="F703" s="51" t="e">
        <f>+VLOOKUP(C703,'[1]CRUCE RIESGOS'!$F$4:$G$281,2,FALSE)</f>
        <v>#N/A</v>
      </c>
    </row>
    <row r="704" spans="1:6" ht="42.75" x14ac:dyDescent="0.2">
      <c r="A704" s="94" t="s">
        <v>1019</v>
      </c>
      <c r="B704" s="98" t="s">
        <v>409</v>
      </c>
      <c r="C704" s="85" t="s">
        <v>1033</v>
      </c>
      <c r="D704" s="104" t="s">
        <v>1034</v>
      </c>
      <c r="E704" s="104" t="s">
        <v>1035</v>
      </c>
      <c r="F704" s="51" t="e">
        <f>+VLOOKUP(C704,'[1]CRUCE RIESGOS'!$F$4:$G$281,2,FALSE)</f>
        <v>#N/A</v>
      </c>
    </row>
    <row r="705" spans="1:6" ht="30" x14ac:dyDescent="0.2">
      <c r="A705" s="94" t="s">
        <v>1019</v>
      </c>
      <c r="B705" s="98" t="s">
        <v>409</v>
      </c>
      <c r="C705" s="50" t="s">
        <v>1036</v>
      </c>
      <c r="D705" s="104" t="s">
        <v>1021</v>
      </c>
      <c r="E705" s="104" t="s">
        <v>70</v>
      </c>
      <c r="F705" s="51" t="e">
        <f>+VLOOKUP(C705,'[1]CRUCE RIESGOS'!$F$4:$G$281,2,FALSE)</f>
        <v>#N/A</v>
      </c>
    </row>
    <row r="706" spans="1:6" ht="30" x14ac:dyDescent="0.2">
      <c r="A706" s="94" t="s">
        <v>1019</v>
      </c>
      <c r="B706" s="98" t="s">
        <v>409</v>
      </c>
      <c r="C706" s="50" t="s">
        <v>1037</v>
      </c>
      <c r="D706" s="104" t="s">
        <v>1038</v>
      </c>
      <c r="E706" s="104" t="s">
        <v>1039</v>
      </c>
      <c r="F706" s="51" t="e">
        <f>+VLOOKUP(C706,'[1]CRUCE RIESGOS'!$F$4:$G$281,2,FALSE)</f>
        <v>#N/A</v>
      </c>
    </row>
    <row r="707" spans="1:6" ht="42.75" x14ac:dyDescent="0.2">
      <c r="A707" s="94" t="s">
        <v>1019</v>
      </c>
      <c r="B707" s="98" t="s">
        <v>409</v>
      </c>
      <c r="C707" s="85" t="s">
        <v>1040</v>
      </c>
      <c r="D707" s="104" t="s">
        <v>1041</v>
      </c>
      <c r="E707" s="104" t="s">
        <v>1042</v>
      </c>
      <c r="F707" s="99"/>
    </row>
    <row r="708" spans="1:6" ht="30" x14ac:dyDescent="0.2">
      <c r="A708" s="94" t="s">
        <v>1019</v>
      </c>
      <c r="B708" s="98" t="s">
        <v>409</v>
      </c>
      <c r="C708" s="50" t="s">
        <v>1043</v>
      </c>
      <c r="D708" s="104" t="s">
        <v>1041</v>
      </c>
      <c r="E708" s="104" t="s">
        <v>43</v>
      </c>
      <c r="F708" s="99" t="e">
        <f>+VLOOKUP(C708,'[1]CRUCE RIESGOS'!$F$4:$G$281,2,FALSE)</f>
        <v>#N/A</v>
      </c>
    </row>
    <row r="709" spans="1:6" ht="30" x14ac:dyDescent="0.2">
      <c r="A709" s="94" t="s">
        <v>1019</v>
      </c>
      <c r="B709" s="98" t="s">
        <v>409</v>
      </c>
      <c r="C709" s="85" t="s">
        <v>1044</v>
      </c>
      <c r="D709" s="104" t="s">
        <v>1024</v>
      </c>
      <c r="E709" s="104" t="s">
        <v>172</v>
      </c>
      <c r="F709" s="99"/>
    </row>
    <row r="710" spans="1:6" ht="42.75" x14ac:dyDescent="0.2">
      <c r="A710" s="94" t="s">
        <v>1019</v>
      </c>
      <c r="B710" s="98" t="s">
        <v>409</v>
      </c>
      <c r="C710" s="85" t="s">
        <v>1045</v>
      </c>
      <c r="D710" s="104" t="s">
        <v>1038</v>
      </c>
      <c r="E710" s="104" t="s">
        <v>1046</v>
      </c>
      <c r="F710" s="99"/>
    </row>
    <row r="711" spans="1:6" ht="30" x14ac:dyDescent="0.2">
      <c r="A711" s="94" t="s">
        <v>1019</v>
      </c>
      <c r="B711" s="98" t="s">
        <v>34</v>
      </c>
      <c r="C711" s="50" t="s">
        <v>1052</v>
      </c>
      <c r="D711" s="104" t="s">
        <v>1021</v>
      </c>
      <c r="E711" s="104" t="s">
        <v>1050</v>
      </c>
      <c r="F711" s="51" t="e">
        <f>+VLOOKUP(C711,'[1]CRUCE RIESGOS'!$F$4:$G$281,2,FALSE)</f>
        <v>#N/A</v>
      </c>
    </row>
    <row r="712" spans="1:6" ht="30" x14ac:dyDescent="0.2">
      <c r="A712" s="94" t="s">
        <v>1019</v>
      </c>
      <c r="B712" s="98" t="s">
        <v>34</v>
      </c>
      <c r="C712" s="50" t="s">
        <v>1053</v>
      </c>
      <c r="D712" s="104" t="s">
        <v>1034</v>
      </c>
      <c r="E712" s="104" t="s">
        <v>1700</v>
      </c>
      <c r="F712" s="51" t="e">
        <f>+VLOOKUP(C712,'[1]CRUCE RIESGOS'!$F$4:$G$281,2,FALSE)</f>
        <v>#N/A</v>
      </c>
    </row>
    <row r="713" spans="1:6" ht="30" x14ac:dyDescent="0.2">
      <c r="A713" s="94" t="s">
        <v>1019</v>
      </c>
      <c r="B713" s="98" t="s">
        <v>34</v>
      </c>
      <c r="C713" s="50" t="s">
        <v>1054</v>
      </c>
      <c r="D713" s="104" t="s">
        <v>1038</v>
      </c>
      <c r="E713" s="104" t="s">
        <v>1046</v>
      </c>
      <c r="F713" s="51" t="e">
        <f>+VLOOKUP(C713,'[1]CRUCE RIESGOS'!$F$4:$G$281,2,FALSE)</f>
        <v>#N/A</v>
      </c>
    </row>
    <row r="714" spans="1:6" ht="42.75" x14ac:dyDescent="0.2">
      <c r="A714" s="94" t="s">
        <v>1019</v>
      </c>
      <c r="B714" s="98" t="s">
        <v>34</v>
      </c>
      <c r="C714" s="50" t="s">
        <v>1055</v>
      </c>
      <c r="D714" s="104" t="s">
        <v>1041</v>
      </c>
      <c r="E714" s="104" t="s">
        <v>43</v>
      </c>
      <c r="F714" s="51" t="e">
        <f>+VLOOKUP(C714,'[1]CRUCE RIESGOS'!$F$4:$G$281,2,FALSE)</f>
        <v>#N/A</v>
      </c>
    </row>
    <row r="715" spans="1:6" ht="30" x14ac:dyDescent="0.2">
      <c r="A715" s="94" t="s">
        <v>1019</v>
      </c>
      <c r="B715" s="98" t="s">
        <v>34</v>
      </c>
      <c r="C715" s="50" t="s">
        <v>1056</v>
      </c>
      <c r="D715" s="104" t="s">
        <v>1038</v>
      </c>
      <c r="E715" s="104" t="s">
        <v>1051</v>
      </c>
      <c r="F715" s="51" t="e">
        <f>+VLOOKUP(C715,'[1]CRUCE RIESGOS'!$F$4:$G$281,2,FALSE)</f>
        <v>#N/A</v>
      </c>
    </row>
    <row r="716" spans="1:6" ht="30" x14ac:dyDescent="0.2">
      <c r="A716" s="94" t="s">
        <v>1019</v>
      </c>
      <c r="B716" s="98" t="s">
        <v>34</v>
      </c>
      <c r="C716" s="50" t="s">
        <v>1057</v>
      </c>
      <c r="D716" s="104" t="s">
        <v>1021</v>
      </c>
      <c r="E716" s="104" t="s">
        <v>1050</v>
      </c>
      <c r="F716" s="51" t="e">
        <f>+VLOOKUP(C716,'[1]CRUCE RIESGOS'!$F$4:$G$281,2,FALSE)</f>
        <v>#N/A</v>
      </c>
    </row>
    <row r="717" spans="1:6" ht="30" x14ac:dyDescent="0.2">
      <c r="A717" s="94" t="s">
        <v>1019</v>
      </c>
      <c r="B717" s="98" t="s">
        <v>34</v>
      </c>
      <c r="C717" s="85" t="s">
        <v>1058</v>
      </c>
      <c r="D717" s="104" t="s">
        <v>1038</v>
      </c>
      <c r="E717" s="104" t="s">
        <v>1046</v>
      </c>
      <c r="F717" s="99" t="e">
        <f>+VLOOKUP(C717,'[1]CRUCE RIESGOS'!$F$4:$G$281,2,FALSE)</f>
        <v>#N/A</v>
      </c>
    </row>
    <row r="718" spans="1:6" ht="30" x14ac:dyDescent="0.2">
      <c r="A718" s="94" t="s">
        <v>1019</v>
      </c>
      <c r="B718" s="98" t="s">
        <v>34</v>
      </c>
      <c r="C718" s="85" t="s">
        <v>1059</v>
      </c>
      <c r="D718" s="104" t="s">
        <v>1021</v>
      </c>
      <c r="E718" s="104" t="s">
        <v>1050</v>
      </c>
      <c r="F718" s="56"/>
    </row>
    <row r="719" spans="1:6" ht="71.25" x14ac:dyDescent="0.2">
      <c r="A719" s="94" t="s">
        <v>1019</v>
      </c>
      <c r="B719" s="98" t="s">
        <v>34</v>
      </c>
      <c r="C719" s="50" t="s">
        <v>1060</v>
      </c>
      <c r="D719" s="104" t="s">
        <v>1061</v>
      </c>
      <c r="E719" s="104" t="s">
        <v>1062</v>
      </c>
      <c r="F719" s="56"/>
    </row>
    <row r="720" spans="1:6" ht="30" x14ac:dyDescent="0.2">
      <c r="A720" s="94" t="s">
        <v>1019</v>
      </c>
      <c r="B720" s="98" t="s">
        <v>380</v>
      </c>
      <c r="C720" s="50" t="s">
        <v>1909</v>
      </c>
      <c r="D720" s="104" t="s">
        <v>1022</v>
      </c>
      <c r="E720" s="104" t="s">
        <v>1072</v>
      </c>
      <c r="F720" s="51" t="e">
        <f>+VLOOKUP(C720,'[1]CRUCE RIESGOS'!$F$4:$G$281,2,FALSE)</f>
        <v>#N/A</v>
      </c>
    </row>
    <row r="721" spans="1:6" ht="42.75" x14ac:dyDescent="0.2">
      <c r="A721" s="94" t="s">
        <v>1019</v>
      </c>
      <c r="B721" s="98" t="s">
        <v>380</v>
      </c>
      <c r="C721" s="50" t="s">
        <v>1076</v>
      </c>
      <c r="D721" s="104" t="s">
        <v>1021</v>
      </c>
      <c r="E721" s="104" t="s">
        <v>1910</v>
      </c>
      <c r="F721" s="51" t="e">
        <f>+VLOOKUP(C721,'[1]CRUCE RIESGOS'!$F$4:$G$281,2,FALSE)</f>
        <v>#N/A</v>
      </c>
    </row>
    <row r="722" spans="1:6" ht="42.75" x14ac:dyDescent="0.2">
      <c r="A722" s="94" t="s">
        <v>1019</v>
      </c>
      <c r="B722" s="98" t="s">
        <v>380</v>
      </c>
      <c r="C722" s="50" t="s">
        <v>1077</v>
      </c>
      <c r="D722" s="104" t="s">
        <v>1021</v>
      </c>
      <c r="E722" s="104" t="s">
        <v>70</v>
      </c>
      <c r="F722" s="51"/>
    </row>
    <row r="723" spans="1:6" ht="30" x14ac:dyDescent="0.2">
      <c r="A723" s="94" t="s">
        <v>1019</v>
      </c>
      <c r="B723" s="98" t="s">
        <v>380</v>
      </c>
      <c r="C723" s="50" t="s">
        <v>1073</v>
      </c>
      <c r="D723" s="104" t="s">
        <v>1021</v>
      </c>
      <c r="E723" s="104" t="s">
        <v>1910</v>
      </c>
      <c r="F723" s="51"/>
    </row>
    <row r="724" spans="1:6" ht="30.75" customHeight="1" x14ac:dyDescent="0.2">
      <c r="A724" s="94" t="s">
        <v>1019</v>
      </c>
      <c r="B724" s="98" t="s">
        <v>380</v>
      </c>
      <c r="C724" s="50" t="s">
        <v>1074</v>
      </c>
      <c r="D724" s="104" t="s">
        <v>1038</v>
      </c>
      <c r="E724" s="104" t="s">
        <v>1051</v>
      </c>
      <c r="F724" s="51"/>
    </row>
    <row r="725" spans="1:6" ht="30" x14ac:dyDescent="0.2">
      <c r="A725" s="94" t="s">
        <v>1019</v>
      </c>
      <c r="B725" s="98" t="s">
        <v>306</v>
      </c>
      <c r="C725" s="50" t="s">
        <v>1079</v>
      </c>
      <c r="D725" s="104" t="s">
        <v>1024</v>
      </c>
      <c r="E725" s="104" t="s">
        <v>1911</v>
      </c>
      <c r="F725" s="51" t="e">
        <f>+VLOOKUP(C725,'[1]CRUCE RIESGOS'!$F$4:$G$281,2,FALSE)</f>
        <v>#N/A</v>
      </c>
    </row>
    <row r="726" spans="1:6" ht="30" x14ac:dyDescent="0.2">
      <c r="A726" s="94" t="s">
        <v>1019</v>
      </c>
      <c r="B726" s="98" t="s">
        <v>306</v>
      </c>
      <c r="C726" s="50" t="s">
        <v>1080</v>
      </c>
      <c r="D726" s="104" t="s">
        <v>1041</v>
      </c>
      <c r="E726" s="104" t="s">
        <v>43</v>
      </c>
      <c r="F726" s="51" t="e">
        <f>+VLOOKUP(C726,'[1]CRUCE RIESGOS'!$F$4:$G$281,2,FALSE)</f>
        <v>#N/A</v>
      </c>
    </row>
    <row r="727" spans="1:6" ht="42.75" x14ac:dyDescent="0.2">
      <c r="A727" s="94" t="s">
        <v>1019</v>
      </c>
      <c r="B727" s="98" t="s">
        <v>306</v>
      </c>
      <c r="C727" s="50" t="s">
        <v>1083</v>
      </c>
      <c r="D727" s="104" t="s">
        <v>1038</v>
      </c>
      <c r="E727" s="104" t="s">
        <v>1046</v>
      </c>
      <c r="F727" s="51" t="e">
        <f>+VLOOKUP(C727,'[1]CRUCE RIESGOS'!$F$4:$G$281,2,FALSE)</f>
        <v>#N/A</v>
      </c>
    </row>
    <row r="728" spans="1:6" ht="30" x14ac:dyDescent="0.2">
      <c r="A728" s="94" t="s">
        <v>1019</v>
      </c>
      <c r="B728" s="98" t="s">
        <v>306</v>
      </c>
      <c r="C728" s="142" t="s">
        <v>1084</v>
      </c>
      <c r="D728" s="104" t="s">
        <v>1024</v>
      </c>
      <c r="E728" s="104" t="s">
        <v>172</v>
      </c>
      <c r="F728" s="51"/>
    </row>
    <row r="729" spans="1:6" ht="42.75" x14ac:dyDescent="0.2">
      <c r="A729" s="94" t="s">
        <v>1019</v>
      </c>
      <c r="B729" s="98" t="s">
        <v>306</v>
      </c>
      <c r="C729" s="50" t="s">
        <v>1085</v>
      </c>
      <c r="D729" s="104" t="s">
        <v>1038</v>
      </c>
      <c r="E729" s="104" t="s">
        <v>1046</v>
      </c>
      <c r="F729" s="51" t="e">
        <f>+VLOOKUP(C729,'[1]CRUCE RIESGOS'!$F$4:$G$281,2,FALSE)</f>
        <v>#N/A</v>
      </c>
    </row>
    <row r="730" spans="1:6" ht="30" x14ac:dyDescent="0.2">
      <c r="A730" s="94" t="s">
        <v>1019</v>
      </c>
      <c r="B730" s="98" t="s">
        <v>306</v>
      </c>
      <c r="C730" s="85" t="s">
        <v>1086</v>
      </c>
      <c r="D730" s="104" t="s">
        <v>1038</v>
      </c>
      <c r="E730" s="104" t="s">
        <v>1039</v>
      </c>
      <c r="F730" s="51" t="e">
        <f>+VLOOKUP(C730,'[1]CRUCE RIESGOS'!$F$4:$G$281,2,FALSE)</f>
        <v>#N/A</v>
      </c>
    </row>
    <row r="731" spans="1:6" ht="30" x14ac:dyDescent="0.2">
      <c r="A731" s="94" t="s">
        <v>1019</v>
      </c>
      <c r="B731" s="98" t="s">
        <v>306</v>
      </c>
      <c r="C731" s="50" t="s">
        <v>1087</v>
      </c>
      <c r="D731" s="104" t="s">
        <v>1061</v>
      </c>
      <c r="E731" s="104" t="s">
        <v>1912</v>
      </c>
      <c r="F731" s="51" t="e">
        <f>+VLOOKUP(C731,'[1]CRUCE RIESGOS'!$F$4:$G$281,2,FALSE)</f>
        <v>#N/A</v>
      </c>
    </row>
    <row r="732" spans="1:6" ht="42.75" x14ac:dyDescent="0.2">
      <c r="A732" s="94" t="s">
        <v>1019</v>
      </c>
      <c r="B732" s="98" t="s">
        <v>306</v>
      </c>
      <c r="C732" s="50" t="s">
        <v>1088</v>
      </c>
      <c r="D732" s="104" t="s">
        <v>1021</v>
      </c>
      <c r="E732" s="104" t="s">
        <v>1050</v>
      </c>
      <c r="F732" s="51" t="e">
        <f>+VLOOKUP(C732,'[1]CRUCE RIESGOS'!$F$4:$G$281,2,FALSE)</f>
        <v>#N/A</v>
      </c>
    </row>
    <row r="733" spans="1:6" ht="30" x14ac:dyDescent="0.2">
      <c r="A733" s="94" t="s">
        <v>1019</v>
      </c>
      <c r="B733" s="98" t="s">
        <v>306</v>
      </c>
      <c r="C733" s="142" t="s">
        <v>1089</v>
      </c>
      <c r="D733" s="104" t="s">
        <v>1021</v>
      </c>
      <c r="E733" s="104" t="s">
        <v>1050</v>
      </c>
      <c r="F733" s="51"/>
    </row>
    <row r="734" spans="1:6" ht="30" x14ac:dyDescent="0.2">
      <c r="A734" s="94" t="s">
        <v>1019</v>
      </c>
      <c r="B734" s="98" t="s">
        <v>306</v>
      </c>
      <c r="C734" s="123" t="s">
        <v>1090</v>
      </c>
      <c r="D734" s="104" t="s">
        <v>1061</v>
      </c>
      <c r="E734" s="104" t="s">
        <v>1062</v>
      </c>
      <c r="F734" s="51" t="e">
        <f>+VLOOKUP(C734,'[1]CRUCE RIESGOS'!$F$4:$G$281,2,FALSE)</f>
        <v>#N/A</v>
      </c>
    </row>
    <row r="735" spans="1:6" ht="30" x14ac:dyDescent="0.2">
      <c r="A735" s="94" t="s">
        <v>1019</v>
      </c>
      <c r="B735" s="98" t="s">
        <v>306</v>
      </c>
      <c r="C735" s="123" t="s">
        <v>1091</v>
      </c>
      <c r="D735" s="104" t="s">
        <v>1021</v>
      </c>
      <c r="E735" s="104" t="s">
        <v>70</v>
      </c>
      <c r="F735" s="51" t="e">
        <f>+VLOOKUP(C735,'[1]CRUCE RIESGOS'!$F$4:$G$281,2,FALSE)</f>
        <v>#N/A</v>
      </c>
    </row>
    <row r="736" spans="1:6" ht="30" x14ac:dyDescent="0.2">
      <c r="A736" s="94" t="s">
        <v>1019</v>
      </c>
      <c r="B736" s="98" t="s">
        <v>306</v>
      </c>
      <c r="C736" s="143" t="s">
        <v>1092</v>
      </c>
      <c r="D736" s="104" t="s">
        <v>1021</v>
      </c>
      <c r="E736" s="104" t="s">
        <v>70</v>
      </c>
      <c r="F736" s="51" t="e">
        <f>+VLOOKUP(C736,'[1]CRUCE RIESGOS'!$F$4:$G$281,2,FALSE)</f>
        <v>#N/A</v>
      </c>
    </row>
    <row r="737" spans="1:6" ht="30" x14ac:dyDescent="0.2">
      <c r="A737" s="94" t="s">
        <v>1019</v>
      </c>
      <c r="B737" s="98" t="s">
        <v>306</v>
      </c>
      <c r="C737" s="123" t="s">
        <v>1093</v>
      </c>
      <c r="D737" s="104" t="s">
        <v>1021</v>
      </c>
      <c r="E737" s="104" t="s">
        <v>70</v>
      </c>
      <c r="F737" s="51"/>
    </row>
    <row r="738" spans="1:6" ht="30" x14ac:dyDescent="0.2">
      <c r="A738" s="94" t="s">
        <v>1019</v>
      </c>
      <c r="B738" s="98" t="s">
        <v>306</v>
      </c>
      <c r="C738" s="123" t="s">
        <v>1094</v>
      </c>
      <c r="D738" s="104" t="s">
        <v>1021</v>
      </c>
      <c r="E738" s="104" t="s">
        <v>1910</v>
      </c>
      <c r="F738" s="51"/>
    </row>
    <row r="739" spans="1:6" ht="30" x14ac:dyDescent="0.2">
      <c r="A739" s="94" t="s">
        <v>1019</v>
      </c>
      <c r="B739" s="98" t="s">
        <v>306</v>
      </c>
      <c r="C739" s="123" t="s">
        <v>1095</v>
      </c>
      <c r="D739" s="104" t="s">
        <v>1021</v>
      </c>
      <c r="E739" s="104" t="s">
        <v>1910</v>
      </c>
      <c r="F739" s="51"/>
    </row>
    <row r="740" spans="1:6" ht="30" x14ac:dyDescent="0.2">
      <c r="A740" s="94" t="s">
        <v>1019</v>
      </c>
      <c r="B740" s="98" t="s">
        <v>306</v>
      </c>
      <c r="C740" s="123" t="s">
        <v>1096</v>
      </c>
      <c r="D740" s="104" t="s">
        <v>1041</v>
      </c>
      <c r="E740" s="104" t="s">
        <v>43</v>
      </c>
      <c r="F740" s="51"/>
    </row>
    <row r="741" spans="1:6" ht="30" x14ac:dyDescent="0.2">
      <c r="A741" s="94" t="s">
        <v>1019</v>
      </c>
      <c r="B741" s="98" t="s">
        <v>306</v>
      </c>
      <c r="C741" s="123" t="s">
        <v>1097</v>
      </c>
      <c r="D741" s="104" t="s">
        <v>1022</v>
      </c>
      <c r="E741" s="104" t="s">
        <v>10</v>
      </c>
      <c r="F741" s="51"/>
    </row>
    <row r="742" spans="1:6" ht="30" x14ac:dyDescent="0.2">
      <c r="A742" s="94" t="s">
        <v>1019</v>
      </c>
      <c r="B742" s="98" t="s">
        <v>306</v>
      </c>
      <c r="C742" s="143" t="s">
        <v>1098</v>
      </c>
      <c r="D742" s="104" t="s">
        <v>1024</v>
      </c>
      <c r="E742" s="104" t="s">
        <v>172</v>
      </c>
      <c r="F742" s="51"/>
    </row>
    <row r="743" spans="1:6" ht="30" x14ac:dyDescent="0.2">
      <c r="A743" s="94" t="s">
        <v>1019</v>
      </c>
      <c r="B743" s="98" t="s">
        <v>306</v>
      </c>
      <c r="C743" s="123" t="s">
        <v>1099</v>
      </c>
      <c r="D743" s="104" t="s">
        <v>1034</v>
      </c>
      <c r="E743" s="104" t="s">
        <v>1035</v>
      </c>
      <c r="F743" s="51"/>
    </row>
    <row r="744" spans="1:6" ht="30" x14ac:dyDescent="0.2">
      <c r="A744" s="94" t="s">
        <v>1019</v>
      </c>
      <c r="B744" s="98" t="s">
        <v>306</v>
      </c>
      <c r="C744" s="123" t="s">
        <v>1100</v>
      </c>
      <c r="D744" s="104" t="s">
        <v>1038</v>
      </c>
      <c r="E744" s="104" t="s">
        <v>1039</v>
      </c>
      <c r="F744" s="51"/>
    </row>
    <row r="745" spans="1:6" s="91" customFormat="1" ht="39" customHeight="1" x14ac:dyDescent="0.2">
      <c r="A745" s="94" t="s">
        <v>1019</v>
      </c>
      <c r="B745" s="98" t="s">
        <v>170</v>
      </c>
      <c r="C745" s="112" t="s">
        <v>1114</v>
      </c>
      <c r="D745" s="104" t="s">
        <v>1024</v>
      </c>
      <c r="E745" s="104" t="s">
        <v>1911</v>
      </c>
      <c r="F745" s="51" t="e">
        <f>+VLOOKUP(C745,'[1]CRUCE RIESGOS'!$F$4:$G$281,2,FALSE)</f>
        <v>#N/A</v>
      </c>
    </row>
    <row r="746" spans="1:6" s="91" customFormat="1" ht="52.5" customHeight="1" x14ac:dyDescent="0.2">
      <c r="A746" s="94" t="s">
        <v>1019</v>
      </c>
      <c r="B746" s="98" t="s">
        <v>170</v>
      </c>
      <c r="C746" s="112" t="s">
        <v>1115</v>
      </c>
      <c r="D746" s="104" t="s">
        <v>1034</v>
      </c>
      <c r="E746" s="104" t="s">
        <v>1700</v>
      </c>
      <c r="F746" s="99" t="e">
        <f>+VLOOKUP(C746,'[1]CRUCE RIESGOS'!$F$4:$G$281,2,FALSE)</f>
        <v>#N/A</v>
      </c>
    </row>
    <row r="747" spans="1:6" s="91" customFormat="1" ht="33.75" customHeight="1" x14ac:dyDescent="0.2">
      <c r="A747" s="94" t="s">
        <v>1019</v>
      </c>
      <c r="B747" s="98" t="s">
        <v>170</v>
      </c>
      <c r="C747" s="144" t="s">
        <v>1116</v>
      </c>
      <c r="D747" s="104" t="s">
        <v>1024</v>
      </c>
      <c r="E747" s="104" t="s">
        <v>172</v>
      </c>
      <c r="F747" s="51" t="e">
        <f>+VLOOKUP(C747,'[1]CRUCE RIESGOS'!$F$4:$G$281,2,FALSE)</f>
        <v>#N/A</v>
      </c>
    </row>
    <row r="748" spans="1:6" s="91" customFormat="1" ht="61.5" customHeight="1" x14ac:dyDescent="0.2">
      <c r="A748" s="94" t="s">
        <v>1019</v>
      </c>
      <c r="B748" s="98" t="s">
        <v>170</v>
      </c>
      <c r="C748" s="113" t="s">
        <v>1117</v>
      </c>
      <c r="D748" s="104" t="s">
        <v>1038</v>
      </c>
      <c r="E748" s="104" t="s">
        <v>1046</v>
      </c>
      <c r="F748" s="51" t="e">
        <f>+VLOOKUP(C748,'[1]CRUCE RIESGOS'!$F$4:$G$281,2,FALSE)</f>
        <v>#N/A</v>
      </c>
    </row>
    <row r="749" spans="1:6" ht="30" x14ac:dyDescent="0.2">
      <c r="A749" s="94" t="s">
        <v>1019</v>
      </c>
      <c r="B749" s="98" t="s">
        <v>89</v>
      </c>
      <c r="C749" s="50" t="s">
        <v>1121</v>
      </c>
      <c r="D749" s="104" t="s">
        <v>1038</v>
      </c>
      <c r="E749" s="104" t="s">
        <v>1051</v>
      </c>
      <c r="F749" s="99" t="str">
        <f>+VLOOKUP(C749,'[1]CRUCE RIESGOS'!$F$4:$G$281,2,FALSE)</f>
        <v>Atención inoportuna a cualquier miembro de la Comunidad Universitaria</v>
      </c>
    </row>
    <row r="750" spans="1:6" ht="42.75" x14ac:dyDescent="0.2">
      <c r="A750" s="94" t="s">
        <v>1019</v>
      </c>
      <c r="B750" s="98" t="s">
        <v>89</v>
      </c>
      <c r="C750" s="141" t="s">
        <v>1122</v>
      </c>
      <c r="D750" s="104" t="s">
        <v>1021</v>
      </c>
      <c r="E750" s="104" t="s">
        <v>1910</v>
      </c>
      <c r="F750" s="51" t="e">
        <f>+VLOOKUP(C750,'[1]CRUCE RIESGOS'!$F$4:$G$281,2,FALSE)</f>
        <v>#N/A</v>
      </c>
    </row>
    <row r="751" spans="1:6" ht="30" x14ac:dyDescent="0.2">
      <c r="A751" s="94" t="s">
        <v>1019</v>
      </c>
      <c r="B751" s="98" t="s">
        <v>89</v>
      </c>
      <c r="C751" s="50" t="s">
        <v>1125</v>
      </c>
      <c r="D751" s="104" t="s">
        <v>1038</v>
      </c>
      <c r="E751" s="104" t="s">
        <v>1046</v>
      </c>
      <c r="F751" s="51" t="e">
        <f>+VLOOKUP(C751,'[1]CRUCE RIESGOS'!$F$4:$G$281,2,FALSE)</f>
        <v>#N/A</v>
      </c>
    </row>
    <row r="752" spans="1:6" ht="30" x14ac:dyDescent="0.2">
      <c r="A752" s="94" t="s">
        <v>1019</v>
      </c>
      <c r="B752" s="98" t="s">
        <v>89</v>
      </c>
      <c r="C752" s="85" t="s">
        <v>1126</v>
      </c>
      <c r="D752" s="104" t="s">
        <v>1024</v>
      </c>
      <c r="E752" s="104" t="s">
        <v>1911</v>
      </c>
      <c r="F752" s="51" t="e">
        <f>+VLOOKUP(C752,'[1]CRUCE RIESGOS'!$F$4:$G$281,2,FALSE)</f>
        <v>#N/A</v>
      </c>
    </row>
    <row r="753" spans="1:6" ht="42.75" x14ac:dyDescent="0.2">
      <c r="A753" s="94" t="s">
        <v>1019</v>
      </c>
      <c r="B753" s="98" t="s">
        <v>89</v>
      </c>
      <c r="C753" s="50" t="s">
        <v>1127</v>
      </c>
      <c r="D753" s="104" t="s">
        <v>1041</v>
      </c>
      <c r="E753" s="104" t="s">
        <v>43</v>
      </c>
      <c r="F753" s="51" t="e">
        <f>+VLOOKUP(C753,'[1]CRUCE RIESGOS'!$F$4:$G$281,2,FALSE)</f>
        <v>#N/A</v>
      </c>
    </row>
    <row r="754" spans="1:6" ht="30" x14ac:dyDescent="0.2">
      <c r="A754" s="94" t="s">
        <v>1019</v>
      </c>
      <c r="B754" s="98" t="s">
        <v>89</v>
      </c>
      <c r="C754" s="50" t="s">
        <v>1128</v>
      </c>
      <c r="D754" s="104" t="s">
        <v>1038</v>
      </c>
      <c r="E754" s="104" t="s">
        <v>1039</v>
      </c>
      <c r="F754" s="51" t="str">
        <f>+VLOOKUP(C754,'[1]CRUCE RIESGOS'!$F$4:$G$281,2,FALSE)</f>
        <v>Pérdida de Disponibilidad, Integridad y Confidencialidad de la Información.</v>
      </c>
    </row>
    <row r="755" spans="1:6" ht="30" x14ac:dyDescent="0.2">
      <c r="A755" s="94" t="s">
        <v>1019</v>
      </c>
      <c r="B755" s="98" t="s">
        <v>89</v>
      </c>
      <c r="C755" s="50" t="s">
        <v>1129</v>
      </c>
      <c r="D755" s="104" t="s">
        <v>1038</v>
      </c>
      <c r="E755" s="104" t="s">
        <v>1051</v>
      </c>
      <c r="F755" s="51" t="e">
        <f>+VLOOKUP(C755,'[1]CRUCE RIESGOS'!$F$4:$G$281,2,FALSE)</f>
        <v>#N/A</v>
      </c>
    </row>
    <row r="756" spans="1:6" ht="42.75" x14ac:dyDescent="0.2">
      <c r="A756" s="94" t="s">
        <v>1019</v>
      </c>
      <c r="B756" s="98" t="s">
        <v>89</v>
      </c>
      <c r="C756" s="50" t="s">
        <v>1913</v>
      </c>
      <c r="D756" s="104" t="s">
        <v>1034</v>
      </c>
      <c r="E756" s="104" t="s">
        <v>1035</v>
      </c>
      <c r="F756" s="51" t="e">
        <f>+VLOOKUP(C756,'[1]CRUCE RIESGOS'!$F$4:$G$281,2,FALSE)</f>
        <v>#N/A</v>
      </c>
    </row>
    <row r="757" spans="1:6" ht="30" x14ac:dyDescent="0.2">
      <c r="A757" s="94" t="s">
        <v>1019</v>
      </c>
      <c r="B757" s="98" t="s">
        <v>89</v>
      </c>
      <c r="C757" s="141" t="s">
        <v>1130</v>
      </c>
      <c r="D757" s="104" t="s">
        <v>1061</v>
      </c>
      <c r="E757" s="104" t="s">
        <v>1123</v>
      </c>
      <c r="F757" s="51" t="e">
        <f>+VLOOKUP(C757,'[1]CRUCE RIESGOS'!$F$4:$G$281,2,FALSE)</f>
        <v>#N/A</v>
      </c>
    </row>
    <row r="758" spans="1:6" ht="42.75" x14ac:dyDescent="0.2">
      <c r="A758" s="94" t="s">
        <v>1019</v>
      </c>
      <c r="B758" s="98" t="s">
        <v>89</v>
      </c>
      <c r="C758" s="85" t="s">
        <v>1131</v>
      </c>
      <c r="D758" s="104" t="s">
        <v>1021</v>
      </c>
      <c r="E758" s="104" t="s">
        <v>70</v>
      </c>
      <c r="F758" s="99" t="e">
        <f>+VLOOKUP(C758,'[1]CRUCE RIESGOS'!$F$4:$G$281,2,FALSE)</f>
        <v>#N/A</v>
      </c>
    </row>
    <row r="759" spans="1:6" ht="30" x14ac:dyDescent="0.2">
      <c r="A759" s="94" t="s">
        <v>1019</v>
      </c>
      <c r="B759" s="98" t="s">
        <v>89</v>
      </c>
      <c r="C759" s="50" t="s">
        <v>1132</v>
      </c>
      <c r="D759" s="104" t="s">
        <v>1038</v>
      </c>
      <c r="E759" s="104" t="s">
        <v>1124</v>
      </c>
      <c r="F759" s="99" t="e">
        <f>+VLOOKUP(C759,'[1]CRUCE RIESGOS'!$F$4:$G$281,2,FALSE)</f>
        <v>#N/A</v>
      </c>
    </row>
    <row r="760" spans="1:6" ht="30" x14ac:dyDescent="0.2">
      <c r="A760" s="94" t="s">
        <v>1019</v>
      </c>
      <c r="B760" s="98" t="s">
        <v>89</v>
      </c>
      <c r="C760" s="50" t="s">
        <v>1133</v>
      </c>
      <c r="D760" s="104" t="s">
        <v>1038</v>
      </c>
      <c r="E760" s="104" t="s">
        <v>1051</v>
      </c>
      <c r="F760" s="51" t="e">
        <f>+VLOOKUP(C760,'[1]CRUCE RIESGOS'!$F$4:$G$281,2,FALSE)</f>
        <v>#N/A</v>
      </c>
    </row>
    <row r="761" spans="1:6" ht="30" x14ac:dyDescent="0.2">
      <c r="A761" s="94" t="s">
        <v>1019</v>
      </c>
      <c r="B761" s="98" t="s">
        <v>89</v>
      </c>
      <c r="C761" s="50" t="s">
        <v>1134</v>
      </c>
      <c r="D761" s="104" t="s">
        <v>1038</v>
      </c>
      <c r="E761" s="104" t="s">
        <v>1051</v>
      </c>
      <c r="F761" s="99" t="e">
        <f>+VLOOKUP(C761,'[1]CRUCE RIESGOS'!$F$4:$G$281,2,FALSE)</f>
        <v>#N/A</v>
      </c>
    </row>
    <row r="762" spans="1:6" ht="30" x14ac:dyDescent="0.2">
      <c r="A762" s="94" t="s">
        <v>1019</v>
      </c>
      <c r="B762" s="98" t="s">
        <v>246</v>
      </c>
      <c r="C762" s="50" t="s">
        <v>1141</v>
      </c>
      <c r="D762" s="104" t="s">
        <v>1034</v>
      </c>
      <c r="E762" s="104" t="s">
        <v>1035</v>
      </c>
      <c r="F762" s="51" t="e">
        <f>+VLOOKUP(C762,'[1]CRUCE RIESGOS'!$F$4:$G$281,2,FALSE)</f>
        <v>#N/A</v>
      </c>
    </row>
    <row r="763" spans="1:6" ht="30" x14ac:dyDescent="0.2">
      <c r="A763" s="94" t="s">
        <v>1019</v>
      </c>
      <c r="B763" s="98" t="s">
        <v>246</v>
      </c>
      <c r="C763" s="50" t="s">
        <v>1142</v>
      </c>
      <c r="D763" s="104" t="s">
        <v>1061</v>
      </c>
      <c r="E763" s="104" t="s">
        <v>1912</v>
      </c>
      <c r="F763" s="51" t="e">
        <f>+VLOOKUP(C763,'[1]CRUCE RIESGOS'!$F$4:$G$281,2,FALSE)</f>
        <v>#N/A</v>
      </c>
    </row>
    <row r="764" spans="1:6" ht="30" x14ac:dyDescent="0.2">
      <c r="A764" s="94" t="s">
        <v>1019</v>
      </c>
      <c r="B764" s="98" t="s">
        <v>246</v>
      </c>
      <c r="C764" s="50" t="s">
        <v>1143</v>
      </c>
      <c r="D764" s="104" t="s">
        <v>1034</v>
      </c>
      <c r="E764" s="104" t="s">
        <v>1035</v>
      </c>
      <c r="F764" s="51" t="e">
        <f>+VLOOKUP(C764,'[1]CRUCE RIESGOS'!$F$4:$G$281,2,FALSE)</f>
        <v>#N/A</v>
      </c>
    </row>
    <row r="765" spans="1:6" ht="30" x14ac:dyDescent="0.2">
      <c r="A765" s="94" t="s">
        <v>1019</v>
      </c>
      <c r="B765" s="98" t="s">
        <v>246</v>
      </c>
      <c r="C765" s="50" t="s">
        <v>1144</v>
      </c>
      <c r="D765" s="104" t="s">
        <v>1061</v>
      </c>
      <c r="E765" s="104" t="s">
        <v>1912</v>
      </c>
      <c r="F765" s="51" t="e">
        <f>+VLOOKUP(C765,'[1]CRUCE RIESGOS'!$F$4:$G$281,2,FALSE)</f>
        <v>#N/A</v>
      </c>
    </row>
    <row r="766" spans="1:6" ht="30" x14ac:dyDescent="0.2">
      <c r="A766" s="94" t="s">
        <v>1019</v>
      </c>
      <c r="B766" s="98" t="s">
        <v>246</v>
      </c>
      <c r="C766" s="50" t="s">
        <v>1145</v>
      </c>
      <c r="D766" s="104" t="s">
        <v>1038</v>
      </c>
      <c r="E766" s="104" t="s">
        <v>1039</v>
      </c>
      <c r="F766" s="51" t="e">
        <f>+VLOOKUP(C766,'[1]CRUCE RIESGOS'!$F$4:$G$281,2,FALSE)</f>
        <v>#N/A</v>
      </c>
    </row>
    <row r="767" spans="1:6" ht="42.75" x14ac:dyDescent="0.2">
      <c r="A767" s="94" t="s">
        <v>1019</v>
      </c>
      <c r="B767" s="98" t="s">
        <v>246</v>
      </c>
      <c r="C767" s="142" t="s">
        <v>1146</v>
      </c>
      <c r="D767" s="104" t="s">
        <v>1021</v>
      </c>
      <c r="E767" s="104" t="s">
        <v>70</v>
      </c>
      <c r="F767" s="99" t="str">
        <f>+VLOOKUP(C767,'[1]CRUCE RIESGOS'!$F$4:$G$281,2,FALSE)</f>
        <v>Demora en la respuesta de requerimientos a las partes interesadas por causa de factores externos</v>
      </c>
    </row>
    <row r="768" spans="1:6" ht="30" x14ac:dyDescent="0.2">
      <c r="A768" s="94" t="s">
        <v>1019</v>
      </c>
      <c r="B768" s="98" t="s">
        <v>246</v>
      </c>
      <c r="C768" s="50" t="s">
        <v>1148</v>
      </c>
      <c r="D768" s="104" t="s">
        <v>1024</v>
      </c>
      <c r="E768" s="104" t="s">
        <v>172</v>
      </c>
      <c r="F768" s="51"/>
    </row>
    <row r="769" spans="1:6" ht="42.75" x14ac:dyDescent="0.2">
      <c r="A769" s="94" t="s">
        <v>1019</v>
      </c>
      <c r="B769" s="98" t="s">
        <v>279</v>
      </c>
      <c r="C769" s="50" t="s">
        <v>1189</v>
      </c>
      <c r="D769" s="104" t="s">
        <v>1041</v>
      </c>
      <c r="E769" s="104" t="s">
        <v>43</v>
      </c>
      <c r="F769" s="51" t="e">
        <f>+VLOOKUP(C769,'[1]CRUCE RIESGOS'!$F$4:$G$281,2,FALSE)</f>
        <v>#N/A</v>
      </c>
    </row>
    <row r="770" spans="1:6" ht="57" x14ac:dyDescent="0.2">
      <c r="A770" s="94" t="s">
        <v>1019</v>
      </c>
      <c r="B770" s="98" t="s">
        <v>279</v>
      </c>
      <c r="C770" s="50" t="s">
        <v>1190</v>
      </c>
      <c r="D770" s="104" t="s">
        <v>1041</v>
      </c>
      <c r="E770" s="104" t="s">
        <v>1191</v>
      </c>
      <c r="F770" s="51" t="e">
        <f>+VLOOKUP(C770,'[1]CRUCE RIESGOS'!$F$4:$G$281,2,FALSE)</f>
        <v>#N/A</v>
      </c>
    </row>
    <row r="771" spans="1:6" ht="30" x14ac:dyDescent="0.2">
      <c r="A771" s="94" t="s">
        <v>1019</v>
      </c>
      <c r="B771" s="98" t="s">
        <v>1150</v>
      </c>
      <c r="C771" s="50" t="s">
        <v>1151</v>
      </c>
      <c r="D771" s="104" t="s">
        <v>1021</v>
      </c>
      <c r="E771" s="104" t="s">
        <v>70</v>
      </c>
      <c r="F771" s="51" t="e">
        <f>+VLOOKUP(C771,'[1]CRUCE RIESGOS'!$F$4:$G$281,2,FALSE)</f>
        <v>#N/A</v>
      </c>
    </row>
    <row r="772" spans="1:6" ht="42.75" x14ac:dyDescent="0.2">
      <c r="A772" s="94" t="s">
        <v>1019</v>
      </c>
      <c r="B772" s="98" t="s">
        <v>1150</v>
      </c>
      <c r="C772" s="85" t="s">
        <v>1914</v>
      </c>
      <c r="D772" s="104" t="s">
        <v>1021</v>
      </c>
      <c r="E772" s="104" t="s">
        <v>1050</v>
      </c>
      <c r="F772" s="51" t="e">
        <f>+VLOOKUP(C772,'[1]CRUCE RIESGOS'!$F$4:$G$281,2,FALSE)</f>
        <v>#N/A</v>
      </c>
    </row>
    <row r="773" spans="1:6" ht="30" x14ac:dyDescent="0.2">
      <c r="A773" s="94" t="s">
        <v>1019</v>
      </c>
      <c r="B773" s="98" t="s">
        <v>1150</v>
      </c>
      <c r="C773" s="50" t="s">
        <v>1037</v>
      </c>
      <c r="D773" s="104" t="s">
        <v>1038</v>
      </c>
      <c r="E773" s="104" t="s">
        <v>1039</v>
      </c>
      <c r="F773" s="99" t="e">
        <f>+VLOOKUP(C773,'[1]CRUCE RIESGOS'!$F$4:$G$281,2,FALSE)</f>
        <v>#N/A</v>
      </c>
    </row>
    <row r="774" spans="1:6" ht="30" x14ac:dyDescent="0.2">
      <c r="A774" s="94" t="s">
        <v>1019</v>
      </c>
      <c r="B774" s="98" t="s">
        <v>1150</v>
      </c>
      <c r="C774" s="50" t="s">
        <v>1915</v>
      </c>
      <c r="D774" s="104" t="s">
        <v>1034</v>
      </c>
      <c r="E774" s="104" t="s">
        <v>1035</v>
      </c>
      <c r="F774" s="51" t="e">
        <f>+VLOOKUP(C774,'[1]CRUCE RIESGOS'!$F$4:$G$281,2,FALSE)</f>
        <v>#N/A</v>
      </c>
    </row>
    <row r="775" spans="1:6" ht="30" x14ac:dyDescent="0.2">
      <c r="A775" s="94" t="s">
        <v>1019</v>
      </c>
      <c r="B775" s="98" t="s">
        <v>1150</v>
      </c>
      <c r="C775" s="50" t="s">
        <v>1153</v>
      </c>
      <c r="D775" s="104" t="s">
        <v>1061</v>
      </c>
      <c r="E775" s="104" t="s">
        <v>1062</v>
      </c>
      <c r="F775" s="56"/>
    </row>
    <row r="776" spans="1:6" ht="30" x14ac:dyDescent="0.2">
      <c r="A776" s="94" t="s">
        <v>1019</v>
      </c>
      <c r="B776" s="98" t="s">
        <v>191</v>
      </c>
      <c r="C776" s="50" t="s">
        <v>1160</v>
      </c>
      <c r="D776" s="104" t="s">
        <v>1021</v>
      </c>
      <c r="E776" s="104" t="s">
        <v>1910</v>
      </c>
      <c r="F776" s="99" t="e">
        <f>+VLOOKUP(C776,'[1]CRUCE RIESGOS'!$F$4:$G$281,2,FALSE)</f>
        <v>#N/A</v>
      </c>
    </row>
    <row r="777" spans="1:6" ht="30" x14ac:dyDescent="0.2">
      <c r="A777" s="94" t="s">
        <v>1019</v>
      </c>
      <c r="B777" s="98" t="s">
        <v>191</v>
      </c>
      <c r="C777" s="50" t="s">
        <v>1161</v>
      </c>
      <c r="D777" s="104" t="s">
        <v>1021</v>
      </c>
      <c r="E777" s="104" t="s">
        <v>1910</v>
      </c>
      <c r="F777" s="99" t="e">
        <f>+VLOOKUP(C777,'[1]CRUCE RIESGOS'!$F$4:$G$281,2,FALSE)</f>
        <v>#N/A</v>
      </c>
    </row>
    <row r="778" spans="1:6" ht="42.75" x14ac:dyDescent="0.2">
      <c r="A778" s="94" t="s">
        <v>1019</v>
      </c>
      <c r="B778" s="98" t="s">
        <v>191</v>
      </c>
      <c r="C778" s="142" t="s">
        <v>1162</v>
      </c>
      <c r="D778" s="104" t="s">
        <v>1061</v>
      </c>
      <c r="E778" s="104" t="s">
        <v>1912</v>
      </c>
      <c r="F778" s="56"/>
    </row>
    <row r="779" spans="1:6" ht="42.75" x14ac:dyDescent="0.2">
      <c r="A779" s="94" t="s">
        <v>1019</v>
      </c>
      <c r="B779" s="98" t="s">
        <v>191</v>
      </c>
      <c r="C779" s="50" t="s">
        <v>1163</v>
      </c>
      <c r="D779" s="104" t="s">
        <v>1038</v>
      </c>
      <c r="E779" s="104" t="s">
        <v>1046</v>
      </c>
      <c r="F779" s="51"/>
    </row>
    <row r="780" spans="1:6" ht="42.75" x14ac:dyDescent="0.2">
      <c r="A780" s="94" t="s">
        <v>1019</v>
      </c>
      <c r="B780" s="98" t="s">
        <v>391</v>
      </c>
      <c r="C780" s="50" t="s">
        <v>1166</v>
      </c>
      <c r="D780" s="104" t="s">
        <v>1021</v>
      </c>
      <c r="E780" s="104" t="s">
        <v>1910</v>
      </c>
      <c r="F780" s="51"/>
    </row>
    <row r="781" spans="1:6" ht="42.75" x14ac:dyDescent="0.2">
      <c r="A781" s="94" t="s">
        <v>1019</v>
      </c>
      <c r="B781" s="98" t="s">
        <v>391</v>
      </c>
      <c r="C781" s="50" t="s">
        <v>1167</v>
      </c>
      <c r="D781" s="104" t="s">
        <v>1038</v>
      </c>
      <c r="E781" s="104" t="s">
        <v>1039</v>
      </c>
      <c r="F781" s="51" t="e">
        <f>+VLOOKUP(C781,'[1]CRUCE RIESGOS'!$F$4:$G$281,2,FALSE)</f>
        <v>#N/A</v>
      </c>
    </row>
    <row r="782" spans="1:6" ht="28.5" x14ac:dyDescent="0.2">
      <c r="A782" s="94" t="s">
        <v>1019</v>
      </c>
      <c r="B782" s="98" t="s">
        <v>391</v>
      </c>
      <c r="C782" s="50" t="s">
        <v>1168</v>
      </c>
      <c r="D782" s="104" t="s">
        <v>1021</v>
      </c>
      <c r="E782" s="104" t="s">
        <v>1050</v>
      </c>
      <c r="F782" s="51" t="e">
        <f>+VLOOKUP(C782,'[1]CRUCE RIESGOS'!$F$4:$G$281,2,FALSE)</f>
        <v>#N/A</v>
      </c>
    </row>
    <row r="783" spans="1:6" ht="28.5" x14ac:dyDescent="0.2">
      <c r="A783" s="94" t="s">
        <v>1019</v>
      </c>
      <c r="B783" s="98" t="s">
        <v>391</v>
      </c>
      <c r="C783" s="85" t="s">
        <v>1169</v>
      </c>
      <c r="D783" s="104" t="s">
        <v>1021</v>
      </c>
      <c r="E783" s="104" t="s">
        <v>1910</v>
      </c>
      <c r="F783" s="51"/>
    </row>
    <row r="784" spans="1:6" ht="30" x14ac:dyDescent="0.2">
      <c r="A784" s="94" t="s">
        <v>1019</v>
      </c>
      <c r="B784" s="98" t="s">
        <v>102</v>
      </c>
      <c r="C784" s="50" t="s">
        <v>1171</v>
      </c>
      <c r="D784" s="104" t="s">
        <v>1022</v>
      </c>
      <c r="E784" s="104" t="s">
        <v>10</v>
      </c>
      <c r="F784" s="51" t="e">
        <f>+VLOOKUP(C784,'[1]CRUCE RIESGOS'!$F$4:$G$281,2,FALSE)</f>
        <v>#N/A</v>
      </c>
    </row>
    <row r="785" spans="1:6" ht="30" x14ac:dyDescent="0.2">
      <c r="A785" s="94" t="s">
        <v>1019</v>
      </c>
      <c r="B785" s="98" t="s">
        <v>102</v>
      </c>
      <c r="C785" s="50" t="s">
        <v>1172</v>
      </c>
      <c r="D785" s="104" t="s">
        <v>1038</v>
      </c>
      <c r="E785" s="104" t="s">
        <v>1046</v>
      </c>
      <c r="F785" s="51" t="e">
        <f>+VLOOKUP(C785,'[1]CRUCE RIESGOS'!$F$4:$G$281,2,FALSE)</f>
        <v>#N/A</v>
      </c>
    </row>
    <row r="786" spans="1:6" ht="42" customHeight="1" x14ac:dyDescent="0.2">
      <c r="A786" s="94" t="s">
        <v>1019</v>
      </c>
      <c r="B786" s="98" t="s">
        <v>102</v>
      </c>
      <c r="C786" s="50" t="s">
        <v>1174</v>
      </c>
      <c r="D786" s="104" t="s">
        <v>1022</v>
      </c>
      <c r="E786" s="104" t="s">
        <v>10</v>
      </c>
      <c r="F786" s="51" t="e">
        <f>+VLOOKUP(C786,'[1]CRUCE RIESGOS'!$F$4:$G$281,2,FALSE)</f>
        <v>#N/A</v>
      </c>
    </row>
    <row r="787" spans="1:6" ht="42.75" x14ac:dyDescent="0.2">
      <c r="A787" s="94" t="s">
        <v>1019</v>
      </c>
      <c r="B787" s="98" t="s">
        <v>102</v>
      </c>
      <c r="C787" s="50" t="s">
        <v>1175</v>
      </c>
      <c r="D787" s="104" t="s">
        <v>1034</v>
      </c>
      <c r="E787" s="104" t="s">
        <v>1700</v>
      </c>
      <c r="F787" s="51" t="e">
        <f>+VLOOKUP(C787,'[1]CRUCE RIESGOS'!$F$4:$G$281,2,FALSE)</f>
        <v>#N/A</v>
      </c>
    </row>
    <row r="788" spans="1:6" ht="42.75" x14ac:dyDescent="0.2">
      <c r="A788" s="94" t="s">
        <v>1019</v>
      </c>
      <c r="B788" s="98" t="s">
        <v>102</v>
      </c>
      <c r="C788" s="50" t="s">
        <v>1176</v>
      </c>
      <c r="D788" s="104" t="s">
        <v>1021</v>
      </c>
      <c r="E788" s="104" t="s">
        <v>1910</v>
      </c>
      <c r="F788" s="51"/>
    </row>
    <row r="789" spans="1:6" ht="30" x14ac:dyDescent="0.2">
      <c r="A789" s="94" t="s">
        <v>1019</v>
      </c>
      <c r="B789" s="98" t="s">
        <v>102</v>
      </c>
      <c r="C789" s="50" t="s">
        <v>1177</v>
      </c>
      <c r="D789" s="104" t="s">
        <v>1061</v>
      </c>
      <c r="E789" s="104" t="s">
        <v>1912</v>
      </c>
      <c r="F789" s="51"/>
    </row>
    <row r="790" spans="1:6" ht="30" x14ac:dyDescent="0.2">
      <c r="A790" s="94" t="s">
        <v>1019</v>
      </c>
      <c r="B790" s="98" t="s">
        <v>102</v>
      </c>
      <c r="C790" s="50" t="s">
        <v>1178</v>
      </c>
      <c r="D790" s="104" t="s">
        <v>1061</v>
      </c>
      <c r="E790" s="104" t="s">
        <v>1912</v>
      </c>
      <c r="F790" s="51"/>
    </row>
    <row r="791" spans="1:6" ht="57" x14ac:dyDescent="0.2">
      <c r="A791" s="94" t="s">
        <v>1019</v>
      </c>
      <c r="B791" s="98" t="s">
        <v>102</v>
      </c>
      <c r="C791" s="50" t="s">
        <v>1916</v>
      </c>
      <c r="D791" s="104" t="s">
        <v>1024</v>
      </c>
      <c r="E791" s="104" t="s">
        <v>487</v>
      </c>
      <c r="F791" s="51"/>
    </row>
    <row r="792" spans="1:6" ht="42.75" x14ac:dyDescent="0.2">
      <c r="A792" s="94" t="s">
        <v>1019</v>
      </c>
      <c r="B792" s="98" t="s">
        <v>102</v>
      </c>
      <c r="C792" s="49" t="s">
        <v>1179</v>
      </c>
      <c r="D792" s="104" t="s">
        <v>1038</v>
      </c>
      <c r="E792" s="104" t="s">
        <v>1046</v>
      </c>
      <c r="F792" s="51"/>
    </row>
    <row r="793" spans="1:6" ht="30" x14ac:dyDescent="0.2">
      <c r="A793" s="94" t="s">
        <v>1019</v>
      </c>
      <c r="B793" s="98" t="s">
        <v>279</v>
      </c>
      <c r="C793" s="50" t="s">
        <v>1192</v>
      </c>
      <c r="D793" s="104" t="s">
        <v>1041</v>
      </c>
      <c r="E793" s="104" t="s">
        <v>1191</v>
      </c>
      <c r="F793" s="51" t="e">
        <f>+VLOOKUP(C793,'[1]CRUCE RIESGOS'!$F$4:$G$281,2,FALSE)</f>
        <v>#N/A</v>
      </c>
    </row>
    <row r="794" spans="1:6" ht="65.25" customHeight="1" x14ac:dyDescent="0.2">
      <c r="A794" s="94" t="s">
        <v>1019</v>
      </c>
      <c r="B794" s="98" t="s">
        <v>279</v>
      </c>
      <c r="C794" s="103" t="s">
        <v>1194</v>
      </c>
      <c r="D794" s="104" t="s">
        <v>1034</v>
      </c>
      <c r="E794" s="104" t="s">
        <v>1700</v>
      </c>
      <c r="F794" s="51" t="e">
        <f>+VLOOKUP(C794,'[1]CRUCE RIESGOS'!$F$4:$G$281,2,FALSE)</f>
        <v>#N/A</v>
      </c>
    </row>
    <row r="795" spans="1:6" ht="30" x14ac:dyDescent="0.2">
      <c r="A795" s="94" t="s">
        <v>1019</v>
      </c>
      <c r="B795" s="98" t="s">
        <v>279</v>
      </c>
      <c r="C795" s="50" t="s">
        <v>1193</v>
      </c>
      <c r="D795" s="104" t="s">
        <v>1038</v>
      </c>
      <c r="E795" s="104" t="s">
        <v>1124</v>
      </c>
      <c r="F795" s="51" t="e">
        <f>+VLOOKUP(C795,'[1]CRUCE RIESGOS'!$F$4:$G$281,2,FALSE)</f>
        <v>#N/A</v>
      </c>
    </row>
    <row r="796" spans="1:6" ht="37.5" customHeight="1" x14ac:dyDescent="0.2">
      <c r="A796" s="94" t="s">
        <v>1019</v>
      </c>
      <c r="B796" s="98" t="s">
        <v>279</v>
      </c>
      <c r="C796" s="50" t="s">
        <v>1195</v>
      </c>
      <c r="D796" s="104" t="s">
        <v>1021</v>
      </c>
      <c r="E796" s="104" t="s">
        <v>1910</v>
      </c>
      <c r="F796" s="51" t="e">
        <f>+VLOOKUP(C796,'[1]CRUCE RIESGOS'!$F$4:$G$281,2,FALSE)</f>
        <v>#N/A</v>
      </c>
    </row>
    <row r="797" spans="1:6" ht="37.5" customHeight="1" x14ac:dyDescent="0.2">
      <c r="A797" s="94" t="s">
        <v>1019</v>
      </c>
      <c r="B797" s="98" t="s">
        <v>279</v>
      </c>
      <c r="C797" s="101" t="s">
        <v>1196</v>
      </c>
      <c r="D797" s="104" t="s">
        <v>1038</v>
      </c>
      <c r="E797" s="104" t="s">
        <v>1046</v>
      </c>
      <c r="F797" s="51" t="e">
        <f>+VLOOKUP(C797,'[1]CRUCE RIESGOS'!$F$4:$G$281,2,FALSE)</f>
        <v>#N/A</v>
      </c>
    </row>
    <row r="798" spans="1:6" ht="42.75" x14ac:dyDescent="0.2">
      <c r="A798" s="94" t="s">
        <v>1019</v>
      </c>
      <c r="B798" s="98" t="s">
        <v>279</v>
      </c>
      <c r="C798" s="49" t="s">
        <v>1197</v>
      </c>
      <c r="D798" s="104" t="s">
        <v>1061</v>
      </c>
      <c r="E798" s="104" t="s">
        <v>1062</v>
      </c>
      <c r="F798" s="51"/>
    </row>
    <row r="799" spans="1:6" ht="42.75" x14ac:dyDescent="0.2">
      <c r="A799" s="94" t="s">
        <v>1019</v>
      </c>
      <c r="B799" s="98" t="s">
        <v>423</v>
      </c>
      <c r="C799" s="50" t="s">
        <v>1206</v>
      </c>
      <c r="D799" s="104" t="s">
        <v>1038</v>
      </c>
      <c r="E799" s="104" t="s">
        <v>1046</v>
      </c>
      <c r="F799" s="99" t="str">
        <f>+VLOOKUP(C799,'[1]CRUCE RIESGOS'!$F$4:$G$281,2,FALSE)</f>
        <v>Incumplimiento de los tiempos de respuesta en la gestión de las PQRS por parte de los funcionarios competentes</v>
      </c>
    </row>
    <row r="800" spans="1:6" ht="30" x14ac:dyDescent="0.2">
      <c r="A800" s="94" t="s">
        <v>1019</v>
      </c>
      <c r="B800" s="98" t="s">
        <v>423</v>
      </c>
      <c r="C800" s="50" t="s">
        <v>1207</v>
      </c>
      <c r="D800" s="104" t="s">
        <v>1034</v>
      </c>
      <c r="E800" s="104" t="s">
        <v>1035</v>
      </c>
      <c r="F800" s="51" t="e">
        <f>+VLOOKUP(C800,'[1]CRUCE RIESGOS'!$F$4:$G$281,2,FALSE)</f>
        <v>#N/A</v>
      </c>
    </row>
    <row r="801" spans="1:6" ht="30" x14ac:dyDescent="0.2">
      <c r="A801" s="94" t="s">
        <v>1019</v>
      </c>
      <c r="B801" s="98" t="s">
        <v>423</v>
      </c>
      <c r="C801" s="50" t="s">
        <v>1208</v>
      </c>
      <c r="D801" s="104" t="s">
        <v>1021</v>
      </c>
      <c r="E801" s="104" t="s">
        <v>70</v>
      </c>
      <c r="F801" s="51" t="e">
        <f>+VLOOKUP(C801,'[1]CRUCE RIESGOS'!$F$4:$G$281,2,FALSE)</f>
        <v>#N/A</v>
      </c>
    </row>
    <row r="802" spans="1:6" ht="42.75" x14ac:dyDescent="0.2">
      <c r="A802" s="94" t="s">
        <v>1019</v>
      </c>
      <c r="B802" s="98" t="s">
        <v>423</v>
      </c>
      <c r="C802" s="50" t="s">
        <v>1209</v>
      </c>
      <c r="D802" s="104" t="s">
        <v>1061</v>
      </c>
      <c r="E802" s="104" t="s">
        <v>1062</v>
      </c>
      <c r="F802" s="51" t="e">
        <f>+VLOOKUP(C802,'[1]CRUCE RIESGOS'!$F$4:$G$281,2,FALSE)</f>
        <v>#N/A</v>
      </c>
    </row>
    <row r="803" spans="1:6" ht="30" x14ac:dyDescent="0.2">
      <c r="A803" s="94" t="s">
        <v>1019</v>
      </c>
      <c r="B803" s="98" t="s">
        <v>69</v>
      </c>
      <c r="C803" s="85" t="s">
        <v>1211</v>
      </c>
      <c r="D803" s="104" t="s">
        <v>1038</v>
      </c>
      <c r="E803" s="104" t="s">
        <v>1039</v>
      </c>
      <c r="F803" s="51" t="e">
        <f>+VLOOKUP(C803,'[1]CRUCE RIESGOS'!$F$4:$G$281,2,FALSE)</f>
        <v>#N/A</v>
      </c>
    </row>
    <row r="804" spans="1:6" ht="42.75" x14ac:dyDescent="0.2">
      <c r="A804" s="94" t="s">
        <v>1019</v>
      </c>
      <c r="B804" s="98" t="s">
        <v>69</v>
      </c>
      <c r="C804" s="85" t="s">
        <v>1212</v>
      </c>
      <c r="D804" s="104" t="s">
        <v>1034</v>
      </c>
      <c r="E804" s="104" t="s">
        <v>1035</v>
      </c>
      <c r="F804" s="51" t="e">
        <f>+VLOOKUP(C804,'[1]CRUCE RIESGOS'!$F$4:$G$281,2,FALSE)</f>
        <v>#N/A</v>
      </c>
    </row>
    <row r="805" spans="1:6" ht="30" x14ac:dyDescent="0.2">
      <c r="A805" s="94" t="s">
        <v>1019</v>
      </c>
      <c r="B805" s="98" t="s">
        <v>69</v>
      </c>
      <c r="C805" s="85" t="s">
        <v>1213</v>
      </c>
      <c r="D805" s="104" t="s">
        <v>1021</v>
      </c>
      <c r="E805" s="104" t="s">
        <v>70</v>
      </c>
      <c r="F805" s="51" t="e">
        <f>+VLOOKUP(C805,'[1]CRUCE RIESGOS'!$F$4:$G$281,2,FALSE)</f>
        <v>#N/A</v>
      </c>
    </row>
    <row r="806" spans="1:6" ht="30" x14ac:dyDescent="0.2">
      <c r="A806" s="94" t="s">
        <v>1019</v>
      </c>
      <c r="B806" s="98" t="s">
        <v>69</v>
      </c>
      <c r="C806" s="85" t="s">
        <v>1215</v>
      </c>
      <c r="D806" s="104" t="s">
        <v>1024</v>
      </c>
      <c r="E806" s="104" t="s">
        <v>487</v>
      </c>
      <c r="F806" s="99" t="e">
        <f>+VLOOKUP(C806,'[1]CRUCE RIESGOS'!$F$4:$G$281,2,FALSE)</f>
        <v>#N/A</v>
      </c>
    </row>
    <row r="807" spans="1:6" ht="30" x14ac:dyDescent="0.2">
      <c r="A807" s="94" t="s">
        <v>1019</v>
      </c>
      <c r="B807" s="98" t="s">
        <v>69</v>
      </c>
      <c r="C807" s="50" t="s">
        <v>1214</v>
      </c>
      <c r="D807" s="104" t="s">
        <v>1038</v>
      </c>
      <c r="E807" s="104" t="s">
        <v>1051</v>
      </c>
      <c r="F807" s="99" t="str">
        <f>+VLOOKUP(C807,'[1]CRUCE RIESGOS'!$F$4:$G$281,2,FALSE)</f>
        <v>Incumplimiento en los tiempos de respuesta en los procesos de contratación directa</v>
      </c>
    </row>
    <row r="808" spans="1:6" ht="30" x14ac:dyDescent="0.2">
      <c r="A808" s="94" t="s">
        <v>1019</v>
      </c>
      <c r="B808" s="98" t="s">
        <v>69</v>
      </c>
      <c r="C808" s="50" t="s">
        <v>1216</v>
      </c>
      <c r="D808" s="104" t="s">
        <v>1038</v>
      </c>
      <c r="E808" s="104" t="s">
        <v>1124</v>
      </c>
      <c r="F808" s="99" t="e">
        <f>+VLOOKUP(C808,'[1]CRUCE RIESGOS'!$F$4:$G$281,2,FALSE)</f>
        <v>#N/A</v>
      </c>
    </row>
    <row r="809" spans="1:6" ht="30" x14ac:dyDescent="0.2">
      <c r="A809" s="94" t="s">
        <v>1019</v>
      </c>
      <c r="B809" s="98" t="s">
        <v>69</v>
      </c>
      <c r="C809" s="85" t="s">
        <v>1217</v>
      </c>
      <c r="D809" s="104" t="s">
        <v>1038</v>
      </c>
      <c r="E809" s="104" t="s">
        <v>1051</v>
      </c>
      <c r="F809" s="51" t="e">
        <f>+VLOOKUP(C809,'[1]CRUCE RIESGOS'!$F$4:$G$281,2,FALSE)</f>
        <v>#N/A</v>
      </c>
    </row>
    <row r="810" spans="1:6" ht="30" x14ac:dyDescent="0.2">
      <c r="A810" s="94" t="s">
        <v>1019</v>
      </c>
      <c r="B810" s="98" t="s">
        <v>69</v>
      </c>
      <c r="C810" s="85" t="s">
        <v>1218</v>
      </c>
      <c r="D810" s="104" t="s">
        <v>1022</v>
      </c>
      <c r="E810" s="104" t="s">
        <v>10</v>
      </c>
      <c r="F810" s="51" t="e">
        <f>+VLOOKUP(C810,'[1]CRUCE RIESGOS'!$F$4:$G$281,2,FALSE)</f>
        <v>#N/A</v>
      </c>
    </row>
    <row r="811" spans="1:6" ht="30" x14ac:dyDescent="0.2">
      <c r="A811" s="94" t="s">
        <v>1019</v>
      </c>
      <c r="B811" s="98" t="s">
        <v>69</v>
      </c>
      <c r="C811" s="85" t="s">
        <v>1219</v>
      </c>
      <c r="D811" s="104" t="s">
        <v>1038</v>
      </c>
      <c r="E811" s="104" t="s">
        <v>1046</v>
      </c>
      <c r="F811" s="51" t="e">
        <f>+VLOOKUP(C811,'[1]CRUCE RIESGOS'!$F$4:$G$281,2,FALSE)</f>
        <v>#N/A</v>
      </c>
    </row>
    <row r="812" spans="1:6" ht="30" x14ac:dyDescent="0.2">
      <c r="A812" s="94" t="s">
        <v>1019</v>
      </c>
      <c r="B812" s="98" t="s">
        <v>69</v>
      </c>
      <c r="C812" s="85" t="s">
        <v>1917</v>
      </c>
      <c r="D812" s="104" t="s">
        <v>1024</v>
      </c>
      <c r="E812" s="104" t="s">
        <v>1911</v>
      </c>
      <c r="F812" s="51" t="e">
        <f>+VLOOKUP(C812,'[1]CRUCE RIESGOS'!$F$4:$G$281,2,FALSE)</f>
        <v>#N/A</v>
      </c>
    </row>
    <row r="813" spans="1:6" ht="30" x14ac:dyDescent="0.2">
      <c r="A813" s="94" t="s">
        <v>1019</v>
      </c>
      <c r="B813" s="98" t="s">
        <v>69</v>
      </c>
      <c r="C813" s="85" t="s">
        <v>1220</v>
      </c>
      <c r="D813" s="104" t="s">
        <v>1038</v>
      </c>
      <c r="E813" s="104" t="s">
        <v>1051</v>
      </c>
      <c r="F813" s="51" t="e">
        <f>+VLOOKUP(C813,'[1]CRUCE RIESGOS'!$F$4:$G$281,2,FALSE)</f>
        <v>#N/A</v>
      </c>
    </row>
    <row r="814" spans="1:6" ht="30" x14ac:dyDescent="0.2">
      <c r="A814" s="94" t="s">
        <v>1019</v>
      </c>
      <c r="B814" s="98" t="s">
        <v>69</v>
      </c>
      <c r="C814" s="85" t="s">
        <v>1221</v>
      </c>
      <c r="D814" s="104" t="s">
        <v>1038</v>
      </c>
      <c r="E814" s="104" t="s">
        <v>1046</v>
      </c>
      <c r="F814" s="51" t="e">
        <f>+VLOOKUP(C814,'[1]CRUCE RIESGOS'!$F$4:$G$281,2,FALSE)</f>
        <v>#N/A</v>
      </c>
    </row>
    <row r="815" spans="1:6" ht="30" x14ac:dyDescent="0.2">
      <c r="A815" s="94" t="s">
        <v>1019</v>
      </c>
      <c r="B815" s="98" t="s">
        <v>69</v>
      </c>
      <c r="C815" s="85" t="s">
        <v>1222</v>
      </c>
      <c r="D815" s="104" t="s">
        <v>1024</v>
      </c>
      <c r="E815" s="104" t="s">
        <v>1911</v>
      </c>
      <c r="F815" s="51" t="e">
        <f>+VLOOKUP(C815,'[1]CRUCE RIESGOS'!$F$4:$G$281,2,FALSE)</f>
        <v>#N/A</v>
      </c>
    </row>
    <row r="816" spans="1:6" ht="30" x14ac:dyDescent="0.2">
      <c r="A816" s="94" t="s">
        <v>1019</v>
      </c>
      <c r="B816" s="98" t="s">
        <v>69</v>
      </c>
      <c r="C816" s="85" t="s">
        <v>1223</v>
      </c>
      <c r="D816" s="104" t="s">
        <v>1041</v>
      </c>
      <c r="E816" s="104" t="s">
        <v>43</v>
      </c>
      <c r="F816" s="51" t="e">
        <f>+VLOOKUP(C816,'[1]CRUCE RIESGOS'!$F$4:$G$281,2,FALSE)</f>
        <v>#N/A</v>
      </c>
    </row>
    <row r="817" spans="1:6" ht="30" x14ac:dyDescent="0.2">
      <c r="A817" s="94" t="s">
        <v>1019</v>
      </c>
      <c r="B817" s="98" t="s">
        <v>69</v>
      </c>
      <c r="C817" s="85" t="s">
        <v>1224</v>
      </c>
      <c r="D817" s="104" t="s">
        <v>1038</v>
      </c>
      <c r="E817" s="104" t="s">
        <v>1051</v>
      </c>
      <c r="F817" s="51"/>
    </row>
    <row r="818" spans="1:6" ht="57" x14ac:dyDescent="0.2">
      <c r="A818" s="94" t="s">
        <v>1019</v>
      </c>
      <c r="B818" s="98" t="s">
        <v>69</v>
      </c>
      <c r="C818" s="85" t="s">
        <v>1918</v>
      </c>
      <c r="D818" s="104" t="s">
        <v>1021</v>
      </c>
      <c r="E818" s="104" t="s">
        <v>70</v>
      </c>
      <c r="F818" s="51"/>
    </row>
    <row r="819" spans="1:6" ht="30" x14ac:dyDescent="0.2">
      <c r="A819" s="94" t="s">
        <v>1019</v>
      </c>
      <c r="B819" s="98" t="s">
        <v>139</v>
      </c>
      <c r="C819" s="50" t="s">
        <v>1225</v>
      </c>
      <c r="D819" s="104" t="s">
        <v>1061</v>
      </c>
      <c r="E819" s="104" t="s">
        <v>1912</v>
      </c>
      <c r="F819" s="51" t="e">
        <f>+VLOOKUP(C819,'[1]CRUCE RIESGOS'!$F$4:$G$281,2,FALSE)</f>
        <v>#N/A</v>
      </c>
    </row>
    <row r="820" spans="1:6" ht="42.75" x14ac:dyDescent="0.2">
      <c r="A820" s="94" t="s">
        <v>1019</v>
      </c>
      <c r="B820" s="98" t="s">
        <v>139</v>
      </c>
      <c r="C820" s="50" t="s">
        <v>1226</v>
      </c>
      <c r="D820" s="104" t="s">
        <v>1038</v>
      </c>
      <c r="E820" s="104" t="s">
        <v>1051</v>
      </c>
      <c r="F820" s="51" t="e">
        <f>+VLOOKUP(C820,'[1]CRUCE RIESGOS'!$F$4:$G$281,2,FALSE)</f>
        <v>#N/A</v>
      </c>
    </row>
    <row r="821" spans="1:6" ht="42.75" x14ac:dyDescent="0.2">
      <c r="A821" s="94" t="s">
        <v>1019</v>
      </c>
      <c r="B821" s="98" t="s">
        <v>139</v>
      </c>
      <c r="C821" s="50" t="s">
        <v>1227</v>
      </c>
      <c r="D821" s="104" t="s">
        <v>1038</v>
      </c>
      <c r="E821" s="104" t="s">
        <v>1039</v>
      </c>
      <c r="F821" s="51" t="e">
        <f>+VLOOKUP(C821,'[1]CRUCE RIESGOS'!$F$4:$G$281,2,FALSE)</f>
        <v>#N/A</v>
      </c>
    </row>
    <row r="822" spans="1:6" ht="30" x14ac:dyDescent="0.2">
      <c r="A822" s="94" t="s">
        <v>1019</v>
      </c>
      <c r="B822" s="98" t="s">
        <v>139</v>
      </c>
      <c r="C822" s="50" t="s">
        <v>1228</v>
      </c>
      <c r="D822" s="104" t="s">
        <v>1038</v>
      </c>
      <c r="E822" s="104" t="s">
        <v>1039</v>
      </c>
      <c r="F822" s="51" t="e">
        <f>+VLOOKUP(C822,'[1]CRUCE RIESGOS'!$F$4:$G$281,2,FALSE)</f>
        <v>#N/A</v>
      </c>
    </row>
    <row r="823" spans="1:6" ht="30" x14ac:dyDescent="0.2">
      <c r="A823" s="94" t="s">
        <v>1019</v>
      </c>
      <c r="B823" s="98" t="s">
        <v>139</v>
      </c>
      <c r="C823" s="50" t="s">
        <v>1229</v>
      </c>
      <c r="D823" s="104" t="s">
        <v>1034</v>
      </c>
      <c r="E823" s="104" t="s">
        <v>1035</v>
      </c>
      <c r="F823" s="51" t="e">
        <f>+VLOOKUP(C823,'[1]CRUCE RIESGOS'!$F$4:$G$281,2,FALSE)</f>
        <v>#N/A</v>
      </c>
    </row>
    <row r="824" spans="1:6" ht="42.75" x14ac:dyDescent="0.2">
      <c r="A824" s="94" t="s">
        <v>1019</v>
      </c>
      <c r="B824" s="98" t="s">
        <v>139</v>
      </c>
      <c r="C824" s="85" t="s">
        <v>1230</v>
      </c>
      <c r="D824" s="104" t="s">
        <v>1022</v>
      </c>
      <c r="E824" s="104" t="s">
        <v>1023</v>
      </c>
      <c r="F824" s="51" t="e">
        <f>+VLOOKUP(C824,'[1]CRUCE RIESGOS'!$F$4:$G$281,2,FALSE)</f>
        <v>#N/A</v>
      </c>
    </row>
    <row r="825" spans="1:6" ht="30" x14ac:dyDescent="0.2">
      <c r="A825" s="94" t="s">
        <v>1019</v>
      </c>
      <c r="B825" s="98" t="s">
        <v>139</v>
      </c>
      <c r="C825" s="85" t="s">
        <v>1231</v>
      </c>
      <c r="D825" s="104" t="s">
        <v>1021</v>
      </c>
      <c r="E825" s="104" t="s">
        <v>70</v>
      </c>
      <c r="F825" s="51" t="e">
        <f>+VLOOKUP(C825,'[1]CRUCE RIESGOS'!$F$4:$G$281,2,FALSE)</f>
        <v>#N/A</v>
      </c>
    </row>
    <row r="826" spans="1:6" ht="30" x14ac:dyDescent="0.2">
      <c r="A826" s="94" t="s">
        <v>1019</v>
      </c>
      <c r="B826" s="98" t="s">
        <v>139</v>
      </c>
      <c r="C826" s="85" t="s">
        <v>1232</v>
      </c>
      <c r="D826" s="104" t="s">
        <v>1038</v>
      </c>
      <c r="E826" s="104" t="s">
        <v>1039</v>
      </c>
      <c r="F826" s="51"/>
    </row>
    <row r="827" spans="1:6" ht="30" x14ac:dyDescent="0.2">
      <c r="A827" s="94" t="s">
        <v>1019</v>
      </c>
      <c r="B827" s="98" t="s">
        <v>208</v>
      </c>
      <c r="C827" s="112" t="s">
        <v>1238</v>
      </c>
      <c r="D827" s="104" t="s">
        <v>1061</v>
      </c>
      <c r="E827" s="104" t="s">
        <v>1912</v>
      </c>
      <c r="F827" s="51" t="e">
        <f>+VLOOKUP(C827,'[1]CRUCE RIESGOS'!$F$4:$G$281,2,FALSE)</f>
        <v>#N/A</v>
      </c>
    </row>
    <row r="828" spans="1:6" ht="30" x14ac:dyDescent="0.2">
      <c r="A828" s="94" t="s">
        <v>1019</v>
      </c>
      <c r="B828" s="98" t="s">
        <v>208</v>
      </c>
      <c r="C828" s="112" t="s">
        <v>1239</v>
      </c>
      <c r="D828" s="104" t="s">
        <v>1021</v>
      </c>
      <c r="E828" s="104" t="s">
        <v>1237</v>
      </c>
      <c r="F828" s="51" t="e">
        <f>+VLOOKUP(C828,'[1]CRUCE RIESGOS'!$F$4:$G$281,2,FALSE)</f>
        <v>#N/A</v>
      </c>
    </row>
    <row r="829" spans="1:6" ht="30" x14ac:dyDescent="0.2">
      <c r="A829" s="94" t="s">
        <v>1019</v>
      </c>
      <c r="B829" s="98" t="s">
        <v>208</v>
      </c>
      <c r="C829" s="112" t="s">
        <v>1240</v>
      </c>
      <c r="D829" s="104" t="s">
        <v>1034</v>
      </c>
      <c r="E829" s="104" t="s">
        <v>1035</v>
      </c>
      <c r="F829" s="51" t="e">
        <f>+VLOOKUP(C829,'[1]CRUCE RIESGOS'!$F$4:$G$281,2,FALSE)</f>
        <v>#N/A</v>
      </c>
    </row>
    <row r="830" spans="1:6" ht="30" x14ac:dyDescent="0.2">
      <c r="A830" s="94" t="s">
        <v>1019</v>
      </c>
      <c r="B830" s="98" t="s">
        <v>208</v>
      </c>
      <c r="C830" s="112" t="s">
        <v>1241</v>
      </c>
      <c r="D830" s="104" t="s">
        <v>1038</v>
      </c>
      <c r="E830" s="104" t="s">
        <v>1039</v>
      </c>
      <c r="F830" s="51" t="e">
        <f>+VLOOKUP(C830,'[1]CRUCE RIESGOS'!$F$4:$G$281,2,FALSE)</f>
        <v>#N/A</v>
      </c>
    </row>
    <row r="831" spans="1:6" ht="30" x14ac:dyDescent="0.2">
      <c r="A831" s="94" t="s">
        <v>1019</v>
      </c>
      <c r="B831" s="98" t="s">
        <v>208</v>
      </c>
      <c r="C831" s="112" t="s">
        <v>1242</v>
      </c>
      <c r="D831" s="104" t="s">
        <v>1034</v>
      </c>
      <c r="E831" s="104" t="s">
        <v>1700</v>
      </c>
      <c r="F831" s="99" t="e">
        <f>+VLOOKUP(C831,'[1]CRUCE RIESGOS'!$F$4:$G$281,2,FALSE)</f>
        <v>#N/A</v>
      </c>
    </row>
    <row r="832" spans="1:6" ht="30" x14ac:dyDescent="0.2">
      <c r="A832" s="94" t="s">
        <v>1019</v>
      </c>
      <c r="B832" s="98" t="s">
        <v>208</v>
      </c>
      <c r="C832" s="95" t="s">
        <v>1243</v>
      </c>
      <c r="D832" s="104" t="s">
        <v>1061</v>
      </c>
      <c r="E832" s="104" t="s">
        <v>1062</v>
      </c>
      <c r="F832" s="51"/>
    </row>
    <row r="833" spans="1:6" ht="30" x14ac:dyDescent="0.2">
      <c r="A833" s="94" t="s">
        <v>1019</v>
      </c>
      <c r="B833" s="98" t="s">
        <v>455</v>
      </c>
      <c r="C833" s="50" t="s">
        <v>1246</v>
      </c>
      <c r="D833" s="104" t="s">
        <v>1021</v>
      </c>
      <c r="E833" s="104" t="s">
        <v>70</v>
      </c>
      <c r="F833" s="99" t="e">
        <f>+VLOOKUP(C833,'[1]CRUCE RIESGOS'!$F$4:$G$281,2,FALSE)</f>
        <v>#N/A</v>
      </c>
    </row>
    <row r="834" spans="1:6" ht="30" x14ac:dyDescent="0.2">
      <c r="A834" s="94" t="s">
        <v>1019</v>
      </c>
      <c r="B834" s="98" t="s">
        <v>455</v>
      </c>
      <c r="C834" s="50" t="s">
        <v>1247</v>
      </c>
      <c r="D834" s="104" t="s">
        <v>1061</v>
      </c>
      <c r="E834" s="104" t="s">
        <v>1912</v>
      </c>
      <c r="F834" s="51" t="e">
        <f>+VLOOKUP(C834,'[1]CRUCE RIESGOS'!$F$4:$G$281,2,FALSE)</f>
        <v>#N/A</v>
      </c>
    </row>
    <row r="835" spans="1:6" ht="30" x14ac:dyDescent="0.2">
      <c r="A835" s="94" t="s">
        <v>1019</v>
      </c>
      <c r="B835" s="98" t="s">
        <v>455</v>
      </c>
      <c r="C835" s="50" t="s">
        <v>1248</v>
      </c>
      <c r="D835" s="104" t="s">
        <v>1038</v>
      </c>
      <c r="E835" s="104" t="s">
        <v>1051</v>
      </c>
      <c r="F835" s="99" t="e">
        <f>+VLOOKUP(C835,'[1]CRUCE RIESGOS'!$F$4:$G$281,2,FALSE)</f>
        <v>#N/A</v>
      </c>
    </row>
    <row r="836" spans="1:6" ht="30" x14ac:dyDescent="0.2">
      <c r="A836" s="94" t="s">
        <v>1019</v>
      </c>
      <c r="B836" s="98" t="s">
        <v>455</v>
      </c>
      <c r="C836" s="50" t="s">
        <v>1249</v>
      </c>
      <c r="D836" s="104" t="s">
        <v>1038</v>
      </c>
      <c r="E836" s="104" t="s">
        <v>1039</v>
      </c>
      <c r="F836" s="99" t="e">
        <f>+VLOOKUP(C836,'[1]CRUCE RIESGOS'!$F$4:$G$281,2,FALSE)</f>
        <v>#N/A</v>
      </c>
    </row>
    <row r="837" spans="1:6" ht="42.75" x14ac:dyDescent="0.2">
      <c r="A837" s="94" t="s">
        <v>1019</v>
      </c>
      <c r="B837" s="98" t="s">
        <v>455</v>
      </c>
      <c r="C837" s="50" t="s">
        <v>1250</v>
      </c>
      <c r="D837" s="104" t="s">
        <v>1034</v>
      </c>
      <c r="E837" s="104" t="s">
        <v>1035</v>
      </c>
      <c r="F837" s="51" t="e">
        <f>+VLOOKUP(C837,'[1]CRUCE RIESGOS'!$F$4:$G$281,2,FALSE)</f>
        <v>#N/A</v>
      </c>
    </row>
    <row r="838" spans="1:6" ht="30" x14ac:dyDescent="0.2">
      <c r="A838" s="94" t="s">
        <v>1019</v>
      </c>
      <c r="B838" s="98" t="s">
        <v>455</v>
      </c>
      <c r="C838" s="50" t="s">
        <v>1251</v>
      </c>
      <c r="D838" s="104" t="s">
        <v>1061</v>
      </c>
      <c r="E838" s="104" t="s">
        <v>1912</v>
      </c>
      <c r="F838" s="99" t="e">
        <f>+VLOOKUP(C838,'[1]CRUCE RIESGOS'!$F$4:$G$281,2,FALSE)</f>
        <v>#N/A</v>
      </c>
    </row>
    <row r="839" spans="1:6" ht="30" x14ac:dyDescent="0.2">
      <c r="A839" s="94" t="s">
        <v>1019</v>
      </c>
      <c r="B839" s="98" t="s">
        <v>455</v>
      </c>
      <c r="C839" s="50" t="s">
        <v>1252</v>
      </c>
      <c r="D839" s="104" t="s">
        <v>1061</v>
      </c>
      <c r="E839" s="104" t="s">
        <v>1062</v>
      </c>
      <c r="F839" s="99" t="e">
        <f>+VLOOKUP(C839,'[1]CRUCE RIESGOS'!$F$4:$G$281,2,FALSE)</f>
        <v>#N/A</v>
      </c>
    </row>
    <row r="840" spans="1:6" ht="30" x14ac:dyDescent="0.2">
      <c r="A840" s="94" t="s">
        <v>1019</v>
      </c>
      <c r="B840" s="98" t="s">
        <v>8</v>
      </c>
      <c r="C840" s="50" t="s">
        <v>1255</v>
      </c>
      <c r="D840" s="104" t="s">
        <v>1061</v>
      </c>
      <c r="E840" s="104" t="s">
        <v>1912</v>
      </c>
      <c r="F840" s="51" t="e">
        <f>+VLOOKUP(C840,'[1]CRUCE RIESGOS'!$F$4:$G$281,2,FALSE)</f>
        <v>#N/A</v>
      </c>
    </row>
    <row r="841" spans="1:6" ht="30" x14ac:dyDescent="0.2">
      <c r="A841" s="94" t="s">
        <v>1019</v>
      </c>
      <c r="B841" s="98" t="s">
        <v>8</v>
      </c>
      <c r="C841" s="50" t="s">
        <v>1256</v>
      </c>
      <c r="D841" s="104" t="s">
        <v>1061</v>
      </c>
      <c r="E841" s="104" t="s">
        <v>1062</v>
      </c>
      <c r="F841" s="51" t="e">
        <f>+VLOOKUP(C841,'[1]CRUCE RIESGOS'!$F$4:$G$281,2,FALSE)</f>
        <v>#N/A</v>
      </c>
    </row>
    <row r="842" spans="1:6" ht="30" x14ac:dyDescent="0.2">
      <c r="A842" s="94" t="s">
        <v>1019</v>
      </c>
      <c r="B842" s="98" t="s">
        <v>8</v>
      </c>
      <c r="C842" s="50" t="s">
        <v>1257</v>
      </c>
      <c r="D842" s="104" t="s">
        <v>1038</v>
      </c>
      <c r="E842" s="104" t="s">
        <v>1051</v>
      </c>
      <c r="F842" s="51" t="e">
        <f>+VLOOKUP(C842,'[1]CRUCE RIESGOS'!$F$4:$G$281,2,FALSE)</f>
        <v>#N/A</v>
      </c>
    </row>
    <row r="843" spans="1:6" ht="42.75" x14ac:dyDescent="0.2">
      <c r="A843" s="94" t="s">
        <v>1019</v>
      </c>
      <c r="B843" s="98" t="s">
        <v>8</v>
      </c>
      <c r="C843" s="50" t="s">
        <v>1258</v>
      </c>
      <c r="D843" s="104" t="s">
        <v>1034</v>
      </c>
      <c r="E843" s="104" t="s">
        <v>1035</v>
      </c>
      <c r="F843" s="99" t="str">
        <f>+VLOOKUP(C843,'[1]CRUCE RIESGOS'!$F$4:$G$281,2,FALSE)</f>
        <v>Pérdida de información de los archivos físicos  (historia académica de los estudiantes y graduados de la UCundinamarca)</v>
      </c>
    </row>
    <row r="844" spans="1:6" ht="42.75" x14ac:dyDescent="0.2">
      <c r="A844" s="94" t="s">
        <v>1019</v>
      </c>
      <c r="B844" s="98" t="s">
        <v>8</v>
      </c>
      <c r="C844" s="50" t="s">
        <v>1259</v>
      </c>
      <c r="D844" s="104" t="s">
        <v>1038</v>
      </c>
      <c r="E844" s="104" t="s">
        <v>1039</v>
      </c>
      <c r="F844" s="99" t="e">
        <f>+VLOOKUP(C844,'[1]CRUCE RIESGOS'!$F$4:$G$281,2,FALSE)</f>
        <v>#N/A</v>
      </c>
    </row>
    <row r="845" spans="1:6" ht="30" x14ac:dyDescent="0.2">
      <c r="A845" s="94" t="s">
        <v>1019</v>
      </c>
      <c r="B845" s="98" t="s">
        <v>8</v>
      </c>
      <c r="C845" s="50" t="s">
        <v>1260</v>
      </c>
      <c r="D845" s="104" t="s">
        <v>1038</v>
      </c>
      <c r="E845" s="104" t="s">
        <v>1051</v>
      </c>
      <c r="F845" s="56"/>
    </row>
    <row r="846" spans="1:6" ht="30" x14ac:dyDescent="0.2">
      <c r="A846" s="94" t="s">
        <v>1019</v>
      </c>
      <c r="B846" s="98" t="s">
        <v>8</v>
      </c>
      <c r="C846" s="50" t="s">
        <v>1261</v>
      </c>
      <c r="D846" s="104" t="s">
        <v>1038</v>
      </c>
      <c r="E846" s="104" t="s">
        <v>1124</v>
      </c>
      <c r="F846" s="51" t="e">
        <f>+VLOOKUP(C846,'[1]CRUCE RIESGOS'!$F$4:$G$281,2,FALSE)</f>
        <v>#N/A</v>
      </c>
    </row>
    <row r="847" spans="1:6" ht="30" x14ac:dyDescent="0.2">
      <c r="A847" s="94" t="s">
        <v>1019</v>
      </c>
      <c r="B847" s="98" t="s">
        <v>8</v>
      </c>
      <c r="C847" s="50" t="s">
        <v>1262</v>
      </c>
      <c r="D847" s="104" t="s">
        <v>1034</v>
      </c>
      <c r="E847" s="104" t="s">
        <v>1700</v>
      </c>
      <c r="F847" s="51"/>
    </row>
    <row r="848" spans="1:6" ht="42.75" x14ac:dyDescent="0.2">
      <c r="A848" s="94" t="s">
        <v>1019</v>
      </c>
      <c r="B848" s="98" t="s">
        <v>8</v>
      </c>
      <c r="C848" s="50" t="s">
        <v>1263</v>
      </c>
      <c r="D848" s="104" t="s">
        <v>1038</v>
      </c>
      <c r="E848" s="104" t="s">
        <v>1039</v>
      </c>
      <c r="F848" s="51" t="e">
        <f>+VLOOKUP(C848,'[1]CRUCE RIESGOS'!$F$4:$G$281,2,FALSE)</f>
        <v>#N/A</v>
      </c>
    </row>
    <row r="849" spans="1:6" ht="30" x14ac:dyDescent="0.2">
      <c r="A849" s="94" t="s">
        <v>1019</v>
      </c>
      <c r="B849" s="98" t="s">
        <v>481</v>
      </c>
      <c r="C849" s="50" t="s">
        <v>1269</v>
      </c>
      <c r="D849" s="104" t="s">
        <v>1038</v>
      </c>
      <c r="E849" s="104" t="s">
        <v>1051</v>
      </c>
      <c r="F849" s="51" t="e">
        <f>+VLOOKUP(C849,'[1]CRUCE RIESGOS'!$F$4:$G$281,2,FALSE)</f>
        <v>#N/A</v>
      </c>
    </row>
    <row r="850" spans="1:6" ht="30" x14ac:dyDescent="0.2">
      <c r="A850" s="94" t="s">
        <v>1019</v>
      </c>
      <c r="B850" s="98" t="s">
        <v>481</v>
      </c>
      <c r="C850" s="50" t="s">
        <v>1270</v>
      </c>
      <c r="D850" s="104" t="s">
        <v>1021</v>
      </c>
      <c r="E850" s="104" t="s">
        <v>70</v>
      </c>
      <c r="F850" s="51" t="e">
        <f>+VLOOKUP(C850,'[1]CRUCE RIESGOS'!$F$4:$G$281,2,FALSE)</f>
        <v>#N/A</v>
      </c>
    </row>
    <row r="851" spans="1:6" ht="30" x14ac:dyDescent="0.2">
      <c r="A851" s="94" t="s">
        <v>1019</v>
      </c>
      <c r="B851" s="98" t="s">
        <v>481</v>
      </c>
      <c r="C851" s="50" t="s">
        <v>1271</v>
      </c>
      <c r="D851" s="104" t="s">
        <v>1034</v>
      </c>
      <c r="E851" s="104" t="s">
        <v>1035</v>
      </c>
      <c r="F851" s="51" t="e">
        <f>+VLOOKUP(C851,'[1]CRUCE RIESGOS'!$F$4:$G$281,2,FALSE)</f>
        <v>#N/A</v>
      </c>
    </row>
    <row r="852" spans="1:6" ht="30" x14ac:dyDescent="0.2">
      <c r="A852" s="94" t="s">
        <v>1019</v>
      </c>
      <c r="B852" s="98" t="s">
        <v>481</v>
      </c>
      <c r="C852" s="50" t="s">
        <v>1272</v>
      </c>
      <c r="D852" s="104" t="s">
        <v>1038</v>
      </c>
      <c r="E852" s="104" t="s">
        <v>1051</v>
      </c>
      <c r="F852" s="51" t="e">
        <f>+VLOOKUP(C852,'[1]CRUCE RIESGOS'!$F$4:$G$281,2,FALSE)</f>
        <v>#N/A</v>
      </c>
    </row>
    <row r="853" spans="1:6" ht="30" x14ac:dyDescent="0.2">
      <c r="A853" s="94" t="s">
        <v>1019</v>
      </c>
      <c r="B853" s="98" t="s">
        <v>481</v>
      </c>
      <c r="C853" s="85" t="s">
        <v>1273</v>
      </c>
      <c r="D853" s="104" t="s">
        <v>1021</v>
      </c>
      <c r="E853" s="104" t="s">
        <v>1910</v>
      </c>
      <c r="F853" s="51" t="e">
        <f>+VLOOKUP(C853,'[1]CRUCE RIESGOS'!$F$4:$G$281,2,FALSE)</f>
        <v>#N/A</v>
      </c>
    </row>
    <row r="854" spans="1:6" ht="30" x14ac:dyDescent="0.2">
      <c r="A854" s="94" t="s">
        <v>1019</v>
      </c>
      <c r="B854" s="98" t="s">
        <v>481</v>
      </c>
      <c r="C854" s="141" t="s">
        <v>1274</v>
      </c>
      <c r="D854" s="104" t="s">
        <v>1024</v>
      </c>
      <c r="E854" s="104" t="s">
        <v>487</v>
      </c>
      <c r="F854" s="51" t="e">
        <f>+VLOOKUP(C854,'[1]CRUCE RIESGOS'!$F$4:$G$281,2,FALSE)</f>
        <v>#N/A</v>
      </c>
    </row>
    <row r="855" spans="1:6" ht="30" x14ac:dyDescent="0.2">
      <c r="A855" s="94" t="s">
        <v>1019</v>
      </c>
      <c r="B855" s="98" t="s">
        <v>481</v>
      </c>
      <c r="C855" s="85" t="s">
        <v>1275</v>
      </c>
      <c r="D855" s="104" t="s">
        <v>1021</v>
      </c>
      <c r="E855" s="104" t="s">
        <v>1237</v>
      </c>
      <c r="F855" s="51" t="e">
        <f>+VLOOKUP(C855,'[1]CRUCE RIESGOS'!$F$4:$G$281,2,FALSE)</f>
        <v>#N/A</v>
      </c>
    </row>
    <row r="856" spans="1:6" ht="30" x14ac:dyDescent="0.2">
      <c r="A856" s="94" t="s">
        <v>1019</v>
      </c>
      <c r="B856" s="98" t="s">
        <v>481</v>
      </c>
      <c r="C856" s="97" t="s">
        <v>1276</v>
      </c>
      <c r="D856" s="104" t="s">
        <v>1024</v>
      </c>
      <c r="E856" s="104" t="s">
        <v>487</v>
      </c>
      <c r="F856" s="51"/>
    </row>
    <row r="857" spans="1:6" ht="42.75" x14ac:dyDescent="0.2">
      <c r="A857" s="94" t="s">
        <v>1019</v>
      </c>
      <c r="B857" s="98" t="s">
        <v>481</v>
      </c>
      <c r="C857" s="97" t="s">
        <v>1277</v>
      </c>
      <c r="D857" s="104" t="s">
        <v>1034</v>
      </c>
      <c r="E857" s="104" t="s">
        <v>1700</v>
      </c>
      <c r="F857" s="51"/>
    </row>
    <row r="858" spans="1:6" ht="45" x14ac:dyDescent="0.2">
      <c r="A858" s="94" t="s">
        <v>1019</v>
      </c>
      <c r="B858" s="98" t="s">
        <v>507</v>
      </c>
      <c r="C858" s="105" t="s">
        <v>1279</v>
      </c>
      <c r="D858" s="104" t="s">
        <v>1038</v>
      </c>
      <c r="E858" s="104" t="s">
        <v>1124</v>
      </c>
      <c r="F858" s="51"/>
    </row>
    <row r="859" spans="1:6" ht="45" x14ac:dyDescent="0.2">
      <c r="A859" s="94" t="s">
        <v>1019</v>
      </c>
      <c r="B859" s="98" t="s">
        <v>507</v>
      </c>
      <c r="C859" s="105" t="s">
        <v>1280</v>
      </c>
      <c r="D859" s="104" t="s">
        <v>1021</v>
      </c>
      <c r="E859" s="104" t="s">
        <v>70</v>
      </c>
      <c r="F859" s="51"/>
    </row>
    <row r="860" spans="1:6" ht="45" x14ac:dyDescent="0.2">
      <c r="A860" s="94" t="s">
        <v>1019</v>
      </c>
      <c r="B860" s="98" t="s">
        <v>507</v>
      </c>
      <c r="C860" s="105" t="s">
        <v>1278</v>
      </c>
      <c r="D860" s="104" t="s">
        <v>1034</v>
      </c>
      <c r="E860" s="104" t="s">
        <v>1035</v>
      </c>
      <c r="F860" s="51"/>
    </row>
    <row r="861" spans="1:6" ht="45" x14ac:dyDescent="0.2">
      <c r="A861" s="94" t="s">
        <v>1019</v>
      </c>
      <c r="B861" s="98" t="s">
        <v>507</v>
      </c>
      <c r="C861" s="105" t="s">
        <v>1281</v>
      </c>
      <c r="D861" s="104" t="s">
        <v>1038</v>
      </c>
      <c r="E861" s="104" t="s">
        <v>1046</v>
      </c>
      <c r="F861" s="51"/>
    </row>
    <row r="862" spans="1:6" ht="45" x14ac:dyDescent="0.2">
      <c r="A862" s="94" t="s">
        <v>1019</v>
      </c>
      <c r="B862" s="98" t="s">
        <v>507</v>
      </c>
      <c r="C862" s="105" t="s">
        <v>1282</v>
      </c>
      <c r="D862" s="104" t="s">
        <v>1021</v>
      </c>
      <c r="E862" s="104" t="s">
        <v>1237</v>
      </c>
      <c r="F862" s="51"/>
    </row>
    <row r="863" spans="1:6" ht="45" x14ac:dyDescent="0.2">
      <c r="A863" s="94" t="s">
        <v>1019</v>
      </c>
      <c r="B863" s="98" t="s">
        <v>507</v>
      </c>
      <c r="C863" s="97" t="s">
        <v>1283</v>
      </c>
      <c r="D863" s="104" t="s">
        <v>1021</v>
      </c>
      <c r="E863" s="104" t="s">
        <v>1910</v>
      </c>
      <c r="F863" s="51"/>
    </row>
    <row r="864" spans="1:6" ht="45" x14ac:dyDescent="0.2">
      <c r="A864" s="110" t="s">
        <v>1019</v>
      </c>
      <c r="B864" s="124" t="s">
        <v>507</v>
      </c>
      <c r="C864" s="111" t="s">
        <v>1284</v>
      </c>
      <c r="D864" s="125" t="s">
        <v>1034</v>
      </c>
      <c r="E864" s="125" t="s">
        <v>1700</v>
      </c>
      <c r="F864" s="51"/>
    </row>
    <row r="865" spans="1:6" ht="30" x14ac:dyDescent="0.2">
      <c r="A865" s="94" t="s">
        <v>1019</v>
      </c>
      <c r="B865" s="98" t="s">
        <v>541</v>
      </c>
      <c r="C865" s="122" t="s">
        <v>1291</v>
      </c>
      <c r="D865" s="104" t="s">
        <v>1038</v>
      </c>
      <c r="E865" s="104" t="s">
        <v>1046</v>
      </c>
      <c r="F865" s="51"/>
    </row>
    <row r="866" spans="1:6" ht="42.75" x14ac:dyDescent="0.2">
      <c r="A866" s="94" t="s">
        <v>1019</v>
      </c>
      <c r="B866" s="98" t="s">
        <v>541</v>
      </c>
      <c r="C866" s="50" t="s">
        <v>1919</v>
      </c>
      <c r="D866" s="104" t="s">
        <v>1061</v>
      </c>
      <c r="E866" s="104" t="s">
        <v>1912</v>
      </c>
      <c r="F866" s="51"/>
    </row>
    <row r="867" spans="1:6" ht="30" x14ac:dyDescent="0.2">
      <c r="A867" s="94" t="s">
        <v>1019</v>
      </c>
      <c r="B867" s="98" t="s">
        <v>541</v>
      </c>
      <c r="C867" s="50" t="s">
        <v>1920</v>
      </c>
      <c r="D867" s="104" t="s">
        <v>1021</v>
      </c>
      <c r="E867" s="104" t="s">
        <v>70</v>
      </c>
      <c r="F867" s="51"/>
    </row>
    <row r="868" spans="1:6" ht="30" x14ac:dyDescent="0.2">
      <c r="A868" s="94" t="s">
        <v>1019</v>
      </c>
      <c r="B868" s="98" t="s">
        <v>541</v>
      </c>
      <c r="C868" s="50" t="s">
        <v>1921</v>
      </c>
      <c r="D868" s="104" t="s">
        <v>1041</v>
      </c>
      <c r="E868" s="104" t="s">
        <v>43</v>
      </c>
      <c r="F868" s="51"/>
    </row>
    <row r="869" spans="1:6" ht="30" x14ac:dyDescent="0.2">
      <c r="A869" s="94" t="s">
        <v>1019</v>
      </c>
      <c r="B869" s="98" t="s">
        <v>541</v>
      </c>
      <c r="C869" s="50" t="s">
        <v>1922</v>
      </c>
      <c r="D869" s="104" t="s">
        <v>1061</v>
      </c>
      <c r="E869" s="104" t="s">
        <v>1912</v>
      </c>
      <c r="F869" s="51"/>
    </row>
    <row r="870" spans="1:6" ht="30" x14ac:dyDescent="0.2">
      <c r="A870" s="94" t="s">
        <v>1019</v>
      </c>
      <c r="B870" s="98" t="s">
        <v>541</v>
      </c>
      <c r="C870" s="85" t="s">
        <v>1923</v>
      </c>
      <c r="D870" s="104" t="s">
        <v>1034</v>
      </c>
      <c r="E870" s="104" t="s">
        <v>1700</v>
      </c>
      <c r="F870" s="51"/>
    </row>
    <row r="871" spans="1:6" ht="30" x14ac:dyDescent="0.2">
      <c r="A871" s="94" t="s">
        <v>1019</v>
      </c>
      <c r="B871" s="98" t="s">
        <v>541</v>
      </c>
      <c r="C871" s="85" t="s">
        <v>1290</v>
      </c>
      <c r="D871" s="104" t="s">
        <v>1061</v>
      </c>
      <c r="E871" s="104" t="s">
        <v>1912</v>
      </c>
      <c r="F871" s="51"/>
    </row>
    <row r="872" spans="1:6" ht="30" customHeight="1" x14ac:dyDescent="0.2">
      <c r="A872" s="94" t="s">
        <v>1300</v>
      </c>
      <c r="B872" s="98" t="s">
        <v>170</v>
      </c>
      <c r="C872" s="126" t="s">
        <v>1304</v>
      </c>
      <c r="D872" s="104" t="s">
        <v>1022</v>
      </c>
      <c r="E872" s="104" t="s">
        <v>1173</v>
      </c>
      <c r="F872" s="56"/>
    </row>
    <row r="873" spans="1:6" ht="30" x14ac:dyDescent="0.2">
      <c r="A873" s="94" t="s">
        <v>1300</v>
      </c>
      <c r="B873" s="98" t="s">
        <v>170</v>
      </c>
      <c r="C873" s="126" t="s">
        <v>1305</v>
      </c>
      <c r="D873" s="104" t="s">
        <v>1022</v>
      </c>
      <c r="E873" s="104" t="s">
        <v>1023</v>
      </c>
      <c r="F873" s="56"/>
    </row>
    <row r="874" spans="1:6" ht="42.75" x14ac:dyDescent="0.2">
      <c r="A874" s="94" t="s">
        <v>1300</v>
      </c>
      <c r="B874" s="98" t="s">
        <v>170</v>
      </c>
      <c r="C874" s="126" t="s">
        <v>1301</v>
      </c>
      <c r="D874" s="104" t="s">
        <v>1022</v>
      </c>
      <c r="E874" s="104" t="s">
        <v>1306</v>
      </c>
      <c r="F874" s="56"/>
    </row>
    <row r="875" spans="1:6" ht="30" x14ac:dyDescent="0.2">
      <c r="A875" s="94" t="s">
        <v>1300</v>
      </c>
      <c r="B875" s="98" t="s">
        <v>170</v>
      </c>
      <c r="C875" s="126" t="s">
        <v>1302</v>
      </c>
      <c r="D875" s="104" t="s">
        <v>1024</v>
      </c>
      <c r="E875" s="104" t="s">
        <v>172</v>
      </c>
      <c r="F875" s="56"/>
    </row>
    <row r="876" spans="1:6" ht="42.75" x14ac:dyDescent="0.2">
      <c r="A876" s="94" t="s">
        <v>1300</v>
      </c>
      <c r="B876" s="98" t="s">
        <v>170</v>
      </c>
      <c r="C876" s="112" t="s">
        <v>1303</v>
      </c>
      <c r="D876" s="104" t="s">
        <v>1038</v>
      </c>
      <c r="E876" s="104" t="s">
        <v>1307</v>
      </c>
      <c r="F876" s="56"/>
    </row>
    <row r="877" spans="1:6" ht="42.75" x14ac:dyDescent="0.2">
      <c r="A877" s="94" t="s">
        <v>1300</v>
      </c>
      <c r="B877" s="98" t="s">
        <v>170</v>
      </c>
      <c r="C877" s="114" t="s">
        <v>1308</v>
      </c>
      <c r="D877" s="104" t="s">
        <v>1061</v>
      </c>
      <c r="E877" s="104" t="s">
        <v>1062</v>
      </c>
      <c r="F877" s="56"/>
    </row>
    <row r="878" spans="1:6" ht="45" x14ac:dyDescent="0.2">
      <c r="A878" s="94" t="s">
        <v>1300</v>
      </c>
      <c r="B878" s="98" t="s">
        <v>57</v>
      </c>
      <c r="C878" s="50" t="s">
        <v>1309</v>
      </c>
      <c r="D878" s="104" t="s">
        <v>1061</v>
      </c>
      <c r="E878" s="104" t="s">
        <v>1062</v>
      </c>
      <c r="F878" s="56"/>
    </row>
    <row r="879" spans="1:6" ht="45" x14ac:dyDescent="0.2">
      <c r="A879" s="94" t="s">
        <v>1300</v>
      </c>
      <c r="B879" s="98" t="s">
        <v>57</v>
      </c>
      <c r="C879" s="50" t="s">
        <v>1310</v>
      </c>
      <c r="D879" s="104" t="s">
        <v>1021</v>
      </c>
      <c r="E879" s="104" t="s">
        <v>1311</v>
      </c>
      <c r="F879" s="56"/>
    </row>
    <row r="880" spans="1:6" ht="45" x14ac:dyDescent="0.2">
      <c r="A880" s="94" t="s">
        <v>1300</v>
      </c>
      <c r="B880" s="98" t="s">
        <v>57</v>
      </c>
      <c r="C880" s="50" t="s">
        <v>1312</v>
      </c>
      <c r="D880" s="104" t="s">
        <v>1061</v>
      </c>
      <c r="E880" s="104" t="s">
        <v>1062</v>
      </c>
      <c r="F880" s="56"/>
    </row>
    <row r="881" spans="1:6" ht="45" x14ac:dyDescent="0.2">
      <c r="A881" s="94" t="s">
        <v>1300</v>
      </c>
      <c r="B881" s="98" t="s">
        <v>57</v>
      </c>
      <c r="C881" s="50" t="s">
        <v>1313</v>
      </c>
      <c r="D881" s="104" t="s">
        <v>1022</v>
      </c>
      <c r="E881" s="104" t="s">
        <v>1023</v>
      </c>
      <c r="F881" s="56"/>
    </row>
    <row r="882" spans="1:6" ht="45" x14ac:dyDescent="0.2">
      <c r="A882" s="94" t="s">
        <v>1300</v>
      </c>
      <c r="B882" s="98" t="s">
        <v>57</v>
      </c>
      <c r="C882" s="50" t="s">
        <v>1314</v>
      </c>
      <c r="D882" s="104" t="s">
        <v>1022</v>
      </c>
      <c r="E882" s="104" t="s">
        <v>1023</v>
      </c>
      <c r="F882" s="56"/>
    </row>
    <row r="883" spans="1:6" ht="45" x14ac:dyDescent="0.2">
      <c r="A883" s="94" t="s">
        <v>1300</v>
      </c>
      <c r="B883" s="98" t="s">
        <v>57</v>
      </c>
      <c r="C883" s="50" t="s">
        <v>1315</v>
      </c>
      <c r="D883" s="104" t="s">
        <v>1021</v>
      </c>
      <c r="E883" s="104" t="s">
        <v>1910</v>
      </c>
      <c r="F883" s="56"/>
    </row>
    <row r="884" spans="1:6" ht="60" x14ac:dyDescent="0.2">
      <c r="A884" s="94" t="s">
        <v>1300</v>
      </c>
      <c r="B884" s="98" t="s">
        <v>237</v>
      </c>
      <c r="C884" s="50" t="s">
        <v>1318</v>
      </c>
      <c r="D884" s="104" t="s">
        <v>1061</v>
      </c>
      <c r="E884" s="104" t="s">
        <v>1062</v>
      </c>
      <c r="F884" s="56"/>
    </row>
    <row r="885" spans="1:6" ht="60" x14ac:dyDescent="0.2">
      <c r="A885" s="94" t="s">
        <v>1300</v>
      </c>
      <c r="B885" s="98" t="s">
        <v>237</v>
      </c>
      <c r="C885" s="50" t="s">
        <v>1320</v>
      </c>
      <c r="D885" s="104" t="s">
        <v>1022</v>
      </c>
      <c r="E885" s="104" t="s">
        <v>1306</v>
      </c>
      <c r="F885" s="56"/>
    </row>
    <row r="886" spans="1:6" ht="30" x14ac:dyDescent="0.2">
      <c r="A886" s="94" t="s">
        <v>1300</v>
      </c>
      <c r="B886" s="98" t="s">
        <v>409</v>
      </c>
      <c r="C886" s="50" t="s">
        <v>1323</v>
      </c>
      <c r="D886" s="104" t="s">
        <v>1041</v>
      </c>
      <c r="E886" s="104" t="s">
        <v>1042</v>
      </c>
      <c r="F886" s="56"/>
    </row>
    <row r="887" spans="1:6" ht="30" x14ac:dyDescent="0.2">
      <c r="A887" s="94" t="s">
        <v>1300</v>
      </c>
      <c r="B887" s="120" t="s">
        <v>409</v>
      </c>
      <c r="C887" s="50" t="s">
        <v>1324</v>
      </c>
      <c r="D887" s="104" t="s">
        <v>1024</v>
      </c>
      <c r="E887" s="104" t="s">
        <v>172</v>
      </c>
      <c r="F887" s="56"/>
    </row>
    <row r="888" spans="1:6" ht="30" x14ac:dyDescent="0.2">
      <c r="A888" s="94" t="s">
        <v>1300</v>
      </c>
      <c r="B888" s="98" t="s">
        <v>409</v>
      </c>
      <c r="C888" s="85" t="s">
        <v>1326</v>
      </c>
      <c r="D888" s="104" t="s">
        <v>1022</v>
      </c>
      <c r="E888" s="104" t="s">
        <v>1023</v>
      </c>
      <c r="F888" s="56"/>
    </row>
    <row r="889" spans="1:6" ht="57" x14ac:dyDescent="0.2">
      <c r="A889" s="94" t="s">
        <v>1300</v>
      </c>
      <c r="B889" s="98" t="s">
        <v>409</v>
      </c>
      <c r="C889" s="85" t="s">
        <v>1924</v>
      </c>
      <c r="D889" s="104" t="s">
        <v>1024</v>
      </c>
      <c r="E889" s="104" t="s">
        <v>1911</v>
      </c>
      <c r="F889" s="56"/>
    </row>
    <row r="890" spans="1:6" ht="30" x14ac:dyDescent="0.2">
      <c r="A890" s="94" t="s">
        <v>1300</v>
      </c>
      <c r="B890" s="98" t="s">
        <v>306</v>
      </c>
      <c r="C890" s="50" t="s">
        <v>1327</v>
      </c>
      <c r="D890" s="104" t="s">
        <v>1022</v>
      </c>
      <c r="E890" s="104" t="s">
        <v>1120</v>
      </c>
      <c r="F890" s="56"/>
    </row>
    <row r="891" spans="1:6" ht="30" x14ac:dyDescent="0.2">
      <c r="A891" s="94" t="s">
        <v>1300</v>
      </c>
      <c r="B891" s="98" t="s">
        <v>306</v>
      </c>
      <c r="C891" s="50" t="s">
        <v>1328</v>
      </c>
      <c r="D891" s="104" t="s">
        <v>1022</v>
      </c>
      <c r="E891" s="104" t="s">
        <v>1120</v>
      </c>
      <c r="F891" s="56"/>
    </row>
    <row r="892" spans="1:6" ht="30" x14ac:dyDescent="0.2">
      <c r="A892" s="94" t="s">
        <v>1300</v>
      </c>
      <c r="B892" s="98" t="s">
        <v>306</v>
      </c>
      <c r="C892" s="50" t="s">
        <v>1335</v>
      </c>
      <c r="D892" s="104" t="s">
        <v>1021</v>
      </c>
      <c r="E892" s="104" t="s">
        <v>70</v>
      </c>
      <c r="F892" s="56"/>
    </row>
    <row r="893" spans="1:6" ht="42.75" x14ac:dyDescent="0.2">
      <c r="A893" s="94" t="s">
        <v>1300</v>
      </c>
      <c r="B893" s="98" t="s">
        <v>306</v>
      </c>
      <c r="C893" s="50" t="s">
        <v>1336</v>
      </c>
      <c r="D893" s="104" t="s">
        <v>1038</v>
      </c>
      <c r="E893" s="104" t="s">
        <v>1307</v>
      </c>
      <c r="F893" s="56"/>
    </row>
    <row r="894" spans="1:6" ht="30" x14ac:dyDescent="0.2">
      <c r="A894" s="94" t="s">
        <v>1300</v>
      </c>
      <c r="B894" s="98" t="s">
        <v>306</v>
      </c>
      <c r="C894" s="50" t="s">
        <v>1329</v>
      </c>
      <c r="D894" s="104" t="s">
        <v>1022</v>
      </c>
      <c r="E894" s="104" t="s">
        <v>1023</v>
      </c>
      <c r="F894" s="56"/>
    </row>
    <row r="895" spans="1:6" ht="30" x14ac:dyDescent="0.2">
      <c r="A895" s="94" t="s">
        <v>1300</v>
      </c>
      <c r="B895" s="98" t="s">
        <v>306</v>
      </c>
      <c r="C895" s="50" t="s">
        <v>1330</v>
      </c>
      <c r="D895" s="104" t="s">
        <v>1022</v>
      </c>
      <c r="E895" s="104" t="s">
        <v>1120</v>
      </c>
      <c r="F895" s="56"/>
    </row>
    <row r="896" spans="1:6" ht="30" x14ac:dyDescent="0.2">
      <c r="A896" s="94" t="s">
        <v>1300</v>
      </c>
      <c r="B896" s="98" t="s">
        <v>306</v>
      </c>
      <c r="C896" s="50" t="s">
        <v>1331</v>
      </c>
      <c r="D896" s="104" t="s">
        <v>1022</v>
      </c>
      <c r="E896" s="104" t="s">
        <v>1023</v>
      </c>
      <c r="F896" s="56"/>
    </row>
    <row r="897" spans="1:6" ht="30" x14ac:dyDescent="0.2">
      <c r="A897" s="94" t="s">
        <v>1300</v>
      </c>
      <c r="B897" s="98" t="s">
        <v>306</v>
      </c>
      <c r="C897" s="50" t="s">
        <v>1332</v>
      </c>
      <c r="D897" s="104" t="s">
        <v>1061</v>
      </c>
      <c r="E897" s="104" t="s">
        <v>1062</v>
      </c>
      <c r="F897" s="56"/>
    </row>
    <row r="898" spans="1:6" ht="30" x14ac:dyDescent="0.2">
      <c r="A898" s="94" t="s">
        <v>1300</v>
      </c>
      <c r="B898" s="98" t="s">
        <v>306</v>
      </c>
      <c r="C898" s="50" t="s">
        <v>1333</v>
      </c>
      <c r="D898" s="104" t="s">
        <v>1021</v>
      </c>
      <c r="E898" s="104" t="s">
        <v>70</v>
      </c>
      <c r="F898" s="56"/>
    </row>
    <row r="899" spans="1:6" ht="30" x14ac:dyDescent="0.2">
      <c r="A899" s="94" t="s">
        <v>1300</v>
      </c>
      <c r="B899" s="98" t="s">
        <v>306</v>
      </c>
      <c r="C899" s="50" t="s">
        <v>1337</v>
      </c>
      <c r="D899" s="104" t="s">
        <v>1022</v>
      </c>
      <c r="E899" s="104" t="s">
        <v>1306</v>
      </c>
      <c r="F899" s="56"/>
    </row>
    <row r="900" spans="1:6" ht="30" x14ac:dyDescent="0.2">
      <c r="A900" s="94" t="s">
        <v>1300</v>
      </c>
      <c r="B900" s="98" t="s">
        <v>306</v>
      </c>
      <c r="C900" s="50" t="s">
        <v>1334</v>
      </c>
      <c r="D900" s="104" t="s">
        <v>1021</v>
      </c>
      <c r="E900" s="104" t="s">
        <v>1026</v>
      </c>
      <c r="F900" s="56"/>
    </row>
    <row r="901" spans="1:6" ht="30" x14ac:dyDescent="0.2">
      <c r="A901" s="94" t="s">
        <v>1300</v>
      </c>
      <c r="B901" s="98" t="s">
        <v>306</v>
      </c>
      <c r="C901" s="85" t="s">
        <v>1925</v>
      </c>
      <c r="D901" s="104" t="s">
        <v>1061</v>
      </c>
      <c r="E901" s="104" t="s">
        <v>1062</v>
      </c>
      <c r="F901" s="56"/>
    </row>
    <row r="902" spans="1:6" ht="38.25" x14ac:dyDescent="0.2">
      <c r="A902" s="94" t="s">
        <v>1300</v>
      </c>
      <c r="B902" s="98" t="s">
        <v>306</v>
      </c>
      <c r="C902" s="127" t="s">
        <v>1338</v>
      </c>
      <c r="D902" s="104" t="s">
        <v>1038</v>
      </c>
      <c r="E902" s="104" t="s">
        <v>1307</v>
      </c>
      <c r="F902" s="56"/>
    </row>
    <row r="903" spans="1:6" ht="42.75" x14ac:dyDescent="0.2">
      <c r="A903" s="94" t="s">
        <v>1300</v>
      </c>
      <c r="B903" s="98" t="s">
        <v>306</v>
      </c>
      <c r="C903" s="85" t="s">
        <v>1339</v>
      </c>
      <c r="D903" s="104" t="s">
        <v>1024</v>
      </c>
      <c r="E903" s="104" t="s">
        <v>1025</v>
      </c>
      <c r="F903" s="56"/>
    </row>
    <row r="904" spans="1:6" ht="30" x14ac:dyDescent="0.2">
      <c r="A904" s="94" t="s">
        <v>1300</v>
      </c>
      <c r="B904" s="98" t="s">
        <v>306</v>
      </c>
      <c r="C904" s="85" t="s">
        <v>1340</v>
      </c>
      <c r="D904" s="104" t="s">
        <v>1061</v>
      </c>
      <c r="E904" s="104" t="s">
        <v>1062</v>
      </c>
      <c r="F904" s="56"/>
    </row>
    <row r="905" spans="1:6" ht="30" x14ac:dyDescent="0.2">
      <c r="A905" s="94" t="s">
        <v>1300</v>
      </c>
      <c r="B905" s="98" t="s">
        <v>306</v>
      </c>
      <c r="C905" s="85" t="s">
        <v>1341</v>
      </c>
      <c r="D905" s="104" t="s">
        <v>1022</v>
      </c>
      <c r="E905" s="104" t="s">
        <v>1306</v>
      </c>
      <c r="F905" s="56"/>
    </row>
    <row r="906" spans="1:6" ht="44.25" customHeight="1" x14ac:dyDescent="0.2">
      <c r="A906" s="94" t="s">
        <v>1300</v>
      </c>
      <c r="B906" s="98" t="s">
        <v>306</v>
      </c>
      <c r="C906" s="85" t="s">
        <v>1342</v>
      </c>
      <c r="D906" s="104" t="s">
        <v>1021</v>
      </c>
      <c r="E906" s="104" t="s">
        <v>1311</v>
      </c>
      <c r="F906" s="56"/>
    </row>
    <row r="907" spans="1:6" ht="30" x14ac:dyDescent="0.2">
      <c r="A907" s="94" t="s">
        <v>1300</v>
      </c>
      <c r="B907" s="98" t="s">
        <v>306</v>
      </c>
      <c r="C907" s="85" t="s">
        <v>1343</v>
      </c>
      <c r="D907" s="104" t="s">
        <v>1022</v>
      </c>
      <c r="E907" s="104" t="s">
        <v>1023</v>
      </c>
      <c r="F907" s="56"/>
    </row>
    <row r="908" spans="1:6" ht="30" x14ac:dyDescent="0.2">
      <c r="A908" s="94" t="s">
        <v>1300</v>
      </c>
      <c r="B908" s="98" t="s">
        <v>306</v>
      </c>
      <c r="C908" s="85" t="s">
        <v>1344</v>
      </c>
      <c r="D908" s="104" t="s">
        <v>1022</v>
      </c>
      <c r="E908" s="104" t="s">
        <v>1306</v>
      </c>
      <c r="F908" s="56"/>
    </row>
    <row r="909" spans="1:6" ht="30" x14ac:dyDescent="0.2">
      <c r="A909" s="94" t="s">
        <v>1300</v>
      </c>
      <c r="B909" s="98" t="s">
        <v>306</v>
      </c>
      <c r="C909" s="85" t="s">
        <v>1345</v>
      </c>
      <c r="D909" s="104" t="s">
        <v>1022</v>
      </c>
      <c r="E909" s="104" t="s">
        <v>1306</v>
      </c>
      <c r="F909" s="56"/>
    </row>
    <row r="910" spans="1:6" ht="30" x14ac:dyDescent="0.2">
      <c r="A910" s="94" t="s">
        <v>1300</v>
      </c>
      <c r="B910" s="98" t="s">
        <v>306</v>
      </c>
      <c r="C910" s="85" t="s">
        <v>1346</v>
      </c>
      <c r="D910" s="104" t="s">
        <v>1038</v>
      </c>
      <c r="E910" s="104" t="s">
        <v>1307</v>
      </c>
      <c r="F910" s="56"/>
    </row>
    <row r="911" spans="1:6" ht="30" x14ac:dyDescent="0.2">
      <c r="A911" s="94" t="s">
        <v>1300</v>
      </c>
      <c r="B911" s="98" t="s">
        <v>306</v>
      </c>
      <c r="C911" s="85" t="s">
        <v>1347</v>
      </c>
      <c r="D911" s="104" t="s">
        <v>1024</v>
      </c>
      <c r="E911" s="104" t="s">
        <v>172</v>
      </c>
      <c r="F911" s="56"/>
    </row>
    <row r="912" spans="1:6" ht="42" customHeight="1" x14ac:dyDescent="0.2">
      <c r="A912" s="94" t="s">
        <v>1300</v>
      </c>
      <c r="B912" s="98" t="s">
        <v>306</v>
      </c>
      <c r="C912" s="85" t="s">
        <v>1348</v>
      </c>
      <c r="D912" s="104" t="s">
        <v>1022</v>
      </c>
      <c r="E912" s="104" t="s">
        <v>1306</v>
      </c>
      <c r="F912" s="56"/>
    </row>
    <row r="913" spans="1:6" ht="30" x14ac:dyDescent="0.2">
      <c r="A913" s="94" t="s">
        <v>1300</v>
      </c>
      <c r="B913" s="98" t="s">
        <v>89</v>
      </c>
      <c r="C913" s="50" t="s">
        <v>1364</v>
      </c>
      <c r="D913" s="104" t="s">
        <v>1024</v>
      </c>
      <c r="E913" s="104" t="s">
        <v>172</v>
      </c>
      <c r="F913" s="56"/>
    </row>
    <row r="914" spans="1:6" ht="30" x14ac:dyDescent="0.2">
      <c r="A914" s="94" t="s">
        <v>1300</v>
      </c>
      <c r="B914" s="98" t="s">
        <v>89</v>
      </c>
      <c r="C914" s="85" t="s">
        <v>1365</v>
      </c>
      <c r="D914" s="104" t="s">
        <v>1021</v>
      </c>
      <c r="E914" s="104" t="s">
        <v>1311</v>
      </c>
      <c r="F914" s="56"/>
    </row>
    <row r="915" spans="1:6" ht="30" x14ac:dyDescent="0.2">
      <c r="A915" s="94" t="s">
        <v>1300</v>
      </c>
      <c r="B915" s="98" t="s">
        <v>89</v>
      </c>
      <c r="C915" s="50" t="s">
        <v>1366</v>
      </c>
      <c r="D915" s="104" t="s">
        <v>1022</v>
      </c>
      <c r="E915" s="104" t="s">
        <v>1023</v>
      </c>
      <c r="F915" s="56"/>
    </row>
    <row r="916" spans="1:6" ht="30" x14ac:dyDescent="0.2">
      <c r="A916" s="94" t="s">
        <v>1300</v>
      </c>
      <c r="B916" s="98" t="s">
        <v>89</v>
      </c>
      <c r="C916" s="50" t="s">
        <v>1367</v>
      </c>
      <c r="D916" s="104" t="s">
        <v>1038</v>
      </c>
      <c r="E916" s="104" t="s">
        <v>1307</v>
      </c>
      <c r="F916" s="56"/>
    </row>
    <row r="917" spans="1:6" ht="30" x14ac:dyDescent="0.2">
      <c r="A917" s="94" t="s">
        <v>1300</v>
      </c>
      <c r="B917" s="98" t="s">
        <v>89</v>
      </c>
      <c r="C917" s="50" t="s">
        <v>1368</v>
      </c>
      <c r="D917" s="104" t="s">
        <v>1038</v>
      </c>
      <c r="E917" s="104" t="s">
        <v>1307</v>
      </c>
      <c r="F917" s="56"/>
    </row>
    <row r="918" spans="1:6" ht="42.75" x14ac:dyDescent="0.2">
      <c r="A918" s="94" t="s">
        <v>1300</v>
      </c>
      <c r="B918" s="98" t="s">
        <v>89</v>
      </c>
      <c r="C918" s="85" t="s">
        <v>1369</v>
      </c>
      <c r="D918" s="104" t="s">
        <v>1024</v>
      </c>
      <c r="E918" s="104" t="s">
        <v>1911</v>
      </c>
      <c r="F918" s="56"/>
    </row>
    <row r="919" spans="1:6" ht="30" x14ac:dyDescent="0.2">
      <c r="A919" s="94" t="s">
        <v>1300</v>
      </c>
      <c r="B919" s="98" t="s">
        <v>89</v>
      </c>
      <c r="C919" s="85" t="s">
        <v>1370</v>
      </c>
      <c r="D919" s="104" t="s">
        <v>1038</v>
      </c>
      <c r="E919" s="104" t="s">
        <v>1307</v>
      </c>
      <c r="F919" s="56"/>
    </row>
    <row r="920" spans="1:6" ht="30" x14ac:dyDescent="0.2">
      <c r="A920" s="94" t="s">
        <v>1300</v>
      </c>
      <c r="B920" s="98" t="s">
        <v>246</v>
      </c>
      <c r="C920" s="50" t="s">
        <v>1376</v>
      </c>
      <c r="D920" s="104" t="s">
        <v>1021</v>
      </c>
      <c r="E920" s="104" t="s">
        <v>70</v>
      </c>
      <c r="F920" s="56"/>
    </row>
    <row r="921" spans="1:6" ht="30" x14ac:dyDescent="0.2">
      <c r="A921" s="94" t="s">
        <v>1300</v>
      </c>
      <c r="B921" s="98" t="s">
        <v>246</v>
      </c>
      <c r="C921" s="50" t="s">
        <v>1377</v>
      </c>
      <c r="D921" s="104" t="s">
        <v>1041</v>
      </c>
      <c r="E921" s="104" t="s">
        <v>43</v>
      </c>
      <c r="F921" s="56"/>
    </row>
    <row r="922" spans="1:6" ht="30" x14ac:dyDescent="0.2">
      <c r="A922" s="94" t="s">
        <v>1300</v>
      </c>
      <c r="B922" s="98" t="s">
        <v>246</v>
      </c>
      <c r="C922" s="50" t="s">
        <v>1378</v>
      </c>
      <c r="D922" s="104" t="s">
        <v>1021</v>
      </c>
      <c r="E922" s="104" t="s">
        <v>70</v>
      </c>
      <c r="F922" s="56"/>
    </row>
    <row r="923" spans="1:6" ht="30" x14ac:dyDescent="0.2">
      <c r="A923" s="94" t="s">
        <v>1300</v>
      </c>
      <c r="B923" s="98" t="s">
        <v>246</v>
      </c>
      <c r="C923" s="50" t="s">
        <v>1379</v>
      </c>
      <c r="D923" s="104" t="s">
        <v>1024</v>
      </c>
      <c r="E923" s="104" t="s">
        <v>1911</v>
      </c>
      <c r="F923" s="56"/>
    </row>
    <row r="924" spans="1:6" ht="30" x14ac:dyDescent="0.2">
      <c r="A924" s="94" t="s">
        <v>1300</v>
      </c>
      <c r="B924" s="98" t="s">
        <v>246</v>
      </c>
      <c r="C924" s="50" t="s">
        <v>1380</v>
      </c>
      <c r="D924" s="104" t="s">
        <v>1061</v>
      </c>
      <c r="E924" s="104" t="s">
        <v>1356</v>
      </c>
      <c r="F924" s="56"/>
    </row>
    <row r="925" spans="1:6" ht="30" x14ac:dyDescent="0.2">
      <c r="A925" s="94" t="s">
        <v>1300</v>
      </c>
      <c r="B925" s="98" t="s">
        <v>246</v>
      </c>
      <c r="C925" s="50" t="s">
        <v>1381</v>
      </c>
      <c r="D925" s="104" t="s">
        <v>1061</v>
      </c>
      <c r="E925" s="104" t="s">
        <v>1356</v>
      </c>
      <c r="F925" s="56"/>
    </row>
    <row r="926" spans="1:6" ht="30" x14ac:dyDescent="0.2">
      <c r="A926" s="94" t="s">
        <v>1300</v>
      </c>
      <c r="B926" s="98" t="s">
        <v>1150</v>
      </c>
      <c r="C926" s="50" t="s">
        <v>1382</v>
      </c>
      <c r="D926" s="104" t="s">
        <v>1022</v>
      </c>
      <c r="E926" s="104" t="s">
        <v>1306</v>
      </c>
      <c r="F926" s="56"/>
    </row>
    <row r="927" spans="1:6" ht="30" x14ac:dyDescent="0.2">
      <c r="A927" s="94" t="s">
        <v>1300</v>
      </c>
      <c r="B927" s="98" t="s">
        <v>1150</v>
      </c>
      <c r="C927" s="50" t="s">
        <v>1383</v>
      </c>
      <c r="D927" s="104" t="s">
        <v>1061</v>
      </c>
      <c r="E927" s="104" t="s">
        <v>1356</v>
      </c>
      <c r="F927" s="56"/>
    </row>
    <row r="928" spans="1:6" ht="30" x14ac:dyDescent="0.2">
      <c r="A928" s="94" t="s">
        <v>1300</v>
      </c>
      <c r="B928" s="98" t="s">
        <v>1150</v>
      </c>
      <c r="C928" s="50" t="s">
        <v>1384</v>
      </c>
      <c r="D928" s="104" t="s">
        <v>1021</v>
      </c>
      <c r="E928" s="104" t="s">
        <v>1311</v>
      </c>
      <c r="F928" s="56"/>
    </row>
    <row r="929" spans="1:6" ht="30" x14ac:dyDescent="0.2">
      <c r="A929" s="94" t="s">
        <v>1300</v>
      </c>
      <c r="B929" s="98" t="s">
        <v>1150</v>
      </c>
      <c r="C929" s="85" t="s">
        <v>1385</v>
      </c>
      <c r="D929" s="104" t="s">
        <v>1021</v>
      </c>
      <c r="E929" s="104" t="s">
        <v>1311</v>
      </c>
      <c r="F929" s="56"/>
    </row>
    <row r="930" spans="1:6" ht="30" x14ac:dyDescent="0.2">
      <c r="A930" s="94" t="s">
        <v>1300</v>
      </c>
      <c r="B930" s="98" t="s">
        <v>1150</v>
      </c>
      <c r="C930" s="50" t="s">
        <v>1386</v>
      </c>
      <c r="D930" s="104" t="s">
        <v>1021</v>
      </c>
      <c r="E930" s="104" t="s">
        <v>1237</v>
      </c>
      <c r="F930" s="56"/>
    </row>
    <row r="931" spans="1:6" ht="30" x14ac:dyDescent="0.2">
      <c r="A931" s="94" t="s">
        <v>1300</v>
      </c>
      <c r="B931" s="98" t="s">
        <v>69</v>
      </c>
      <c r="C931" s="50" t="s">
        <v>1390</v>
      </c>
      <c r="D931" s="104" t="s">
        <v>1022</v>
      </c>
      <c r="E931" s="104" t="s">
        <v>1306</v>
      </c>
      <c r="F931" s="56"/>
    </row>
    <row r="932" spans="1:6" ht="30" x14ac:dyDescent="0.2">
      <c r="A932" s="94" t="s">
        <v>1300</v>
      </c>
      <c r="B932" s="98" t="s">
        <v>69</v>
      </c>
      <c r="C932" s="50" t="s">
        <v>1391</v>
      </c>
      <c r="D932" s="104" t="s">
        <v>1022</v>
      </c>
      <c r="E932" s="104" t="s">
        <v>1023</v>
      </c>
      <c r="F932" s="56"/>
    </row>
    <row r="933" spans="1:6" ht="30" x14ac:dyDescent="0.2">
      <c r="A933" s="94" t="s">
        <v>1300</v>
      </c>
      <c r="B933" s="98" t="s">
        <v>69</v>
      </c>
      <c r="C933" s="85" t="s">
        <v>1392</v>
      </c>
      <c r="D933" s="104" t="s">
        <v>1024</v>
      </c>
      <c r="E933" s="104" t="s">
        <v>1911</v>
      </c>
      <c r="F933" s="56"/>
    </row>
    <row r="934" spans="1:6" ht="30" x14ac:dyDescent="0.2">
      <c r="A934" s="94" t="s">
        <v>1300</v>
      </c>
      <c r="B934" s="98" t="s">
        <v>69</v>
      </c>
      <c r="C934" s="50" t="s">
        <v>1393</v>
      </c>
      <c r="D934" s="104" t="s">
        <v>1061</v>
      </c>
      <c r="E934" s="104" t="s">
        <v>1356</v>
      </c>
      <c r="F934" s="56"/>
    </row>
    <row r="935" spans="1:6" ht="30" x14ac:dyDescent="0.2">
      <c r="A935" s="94" t="s">
        <v>1300</v>
      </c>
      <c r="B935" s="98" t="s">
        <v>69</v>
      </c>
      <c r="C935" s="85" t="s">
        <v>1394</v>
      </c>
      <c r="D935" s="104" t="s">
        <v>1021</v>
      </c>
      <c r="E935" s="104" t="s">
        <v>1311</v>
      </c>
      <c r="F935" s="56"/>
    </row>
    <row r="936" spans="1:6" ht="42.75" x14ac:dyDescent="0.2">
      <c r="A936" s="94" t="s">
        <v>1300</v>
      </c>
      <c r="B936" s="98" t="s">
        <v>69</v>
      </c>
      <c r="C936" s="85" t="s">
        <v>1395</v>
      </c>
      <c r="D936" s="104" t="s">
        <v>1021</v>
      </c>
      <c r="E936" s="104" t="s">
        <v>70</v>
      </c>
      <c r="F936" s="56"/>
    </row>
    <row r="937" spans="1:6" ht="30" x14ac:dyDescent="0.2">
      <c r="A937" s="94" t="s">
        <v>1300</v>
      </c>
      <c r="B937" s="98" t="s">
        <v>69</v>
      </c>
      <c r="C937" s="85" t="s">
        <v>1396</v>
      </c>
      <c r="D937" s="104" t="s">
        <v>1061</v>
      </c>
      <c r="E937" s="104" t="s">
        <v>1356</v>
      </c>
      <c r="F937" s="56"/>
    </row>
    <row r="938" spans="1:6" ht="30" x14ac:dyDescent="0.2">
      <c r="A938" s="94" t="s">
        <v>1300</v>
      </c>
      <c r="B938" s="98" t="s">
        <v>208</v>
      </c>
      <c r="C938" s="112" t="s">
        <v>1404</v>
      </c>
      <c r="D938" s="104" t="s">
        <v>1021</v>
      </c>
      <c r="E938" s="104" t="s">
        <v>70</v>
      </c>
      <c r="F938" s="56"/>
    </row>
    <row r="939" spans="1:6" ht="30" x14ac:dyDescent="0.2">
      <c r="A939" s="94" t="s">
        <v>1300</v>
      </c>
      <c r="B939" s="98" t="s">
        <v>208</v>
      </c>
      <c r="C939" s="112" t="s">
        <v>1397</v>
      </c>
      <c r="D939" s="104" t="s">
        <v>1021</v>
      </c>
      <c r="E939" s="104" t="s">
        <v>1237</v>
      </c>
      <c r="F939" s="56"/>
    </row>
    <row r="940" spans="1:6" ht="30" x14ac:dyDescent="0.2">
      <c r="A940" s="94" t="s">
        <v>1300</v>
      </c>
      <c r="B940" s="98" t="s">
        <v>208</v>
      </c>
      <c r="C940" s="112" t="s">
        <v>1398</v>
      </c>
      <c r="D940" s="104" t="s">
        <v>1061</v>
      </c>
      <c r="E940" s="104" t="s">
        <v>1912</v>
      </c>
      <c r="F940" s="56"/>
    </row>
    <row r="941" spans="1:6" ht="30" x14ac:dyDescent="0.2">
      <c r="A941" s="94" t="s">
        <v>1300</v>
      </c>
      <c r="B941" s="98" t="s">
        <v>208</v>
      </c>
      <c r="C941" s="128" t="s">
        <v>1399</v>
      </c>
      <c r="D941" s="104" t="s">
        <v>1041</v>
      </c>
      <c r="E941" s="104" t="s">
        <v>1191</v>
      </c>
      <c r="F941" s="56"/>
    </row>
    <row r="942" spans="1:6" ht="30" x14ac:dyDescent="0.2">
      <c r="A942" s="94" t="s">
        <v>1300</v>
      </c>
      <c r="B942" s="98" t="s">
        <v>208</v>
      </c>
      <c r="C942" s="129" t="s">
        <v>1400</v>
      </c>
      <c r="D942" s="104" t="s">
        <v>1021</v>
      </c>
      <c r="E942" s="104" t="s">
        <v>1910</v>
      </c>
      <c r="F942" s="56"/>
    </row>
    <row r="943" spans="1:6" ht="30" x14ac:dyDescent="0.2">
      <c r="A943" s="94" t="s">
        <v>1300</v>
      </c>
      <c r="B943" s="98" t="s">
        <v>208</v>
      </c>
      <c r="C943" s="129" t="s">
        <v>1401</v>
      </c>
      <c r="D943" s="104" t="s">
        <v>1061</v>
      </c>
      <c r="E943" s="104" t="s">
        <v>1912</v>
      </c>
      <c r="F943" s="56"/>
    </row>
    <row r="944" spans="1:6" ht="30" x14ac:dyDescent="0.2">
      <c r="A944" s="94" t="s">
        <v>1300</v>
      </c>
      <c r="B944" s="98" t="s">
        <v>208</v>
      </c>
      <c r="C944" s="130" t="s">
        <v>1402</v>
      </c>
      <c r="D944" s="104" t="s">
        <v>1021</v>
      </c>
      <c r="E944" s="104" t="s">
        <v>1311</v>
      </c>
      <c r="F944" s="56"/>
    </row>
    <row r="945" spans="1:6" ht="30" x14ac:dyDescent="0.2">
      <c r="A945" s="94" t="s">
        <v>1300</v>
      </c>
      <c r="B945" s="98" t="s">
        <v>208</v>
      </c>
      <c r="C945" s="131" t="s">
        <v>1403</v>
      </c>
      <c r="D945" s="104" t="s">
        <v>1021</v>
      </c>
      <c r="E945" s="104" t="s">
        <v>1237</v>
      </c>
      <c r="F945" s="56"/>
    </row>
    <row r="946" spans="1:6" ht="30" x14ac:dyDescent="0.2">
      <c r="A946" s="94" t="s">
        <v>1300</v>
      </c>
      <c r="B946" s="98" t="s">
        <v>102</v>
      </c>
      <c r="C946" s="50" t="s">
        <v>1405</v>
      </c>
      <c r="D946" s="104" t="s">
        <v>1022</v>
      </c>
      <c r="E946" s="104" t="s">
        <v>1306</v>
      </c>
      <c r="F946" s="56"/>
    </row>
    <row r="947" spans="1:6" ht="42.75" x14ac:dyDescent="0.2">
      <c r="A947" s="94" t="s">
        <v>1300</v>
      </c>
      <c r="B947" s="98" t="s">
        <v>102</v>
      </c>
      <c r="C947" s="50" t="s">
        <v>1406</v>
      </c>
      <c r="D947" s="104" t="s">
        <v>1022</v>
      </c>
      <c r="E947" s="104" t="s">
        <v>1023</v>
      </c>
      <c r="F947" s="56"/>
    </row>
    <row r="948" spans="1:6" ht="30" x14ac:dyDescent="0.2">
      <c r="A948" s="94" t="s">
        <v>1300</v>
      </c>
      <c r="B948" s="98" t="s">
        <v>102</v>
      </c>
      <c r="C948" s="50" t="s">
        <v>1407</v>
      </c>
      <c r="D948" s="104" t="s">
        <v>1038</v>
      </c>
      <c r="E948" s="104" t="s">
        <v>1307</v>
      </c>
      <c r="F948" s="56"/>
    </row>
    <row r="949" spans="1:6" ht="30" x14ac:dyDescent="0.2">
      <c r="A949" s="94" t="s">
        <v>1300</v>
      </c>
      <c r="B949" s="98" t="s">
        <v>102</v>
      </c>
      <c r="C949" s="50" t="s">
        <v>1408</v>
      </c>
      <c r="D949" s="104" t="s">
        <v>1022</v>
      </c>
      <c r="E949" s="104" t="s">
        <v>1023</v>
      </c>
      <c r="F949" s="56"/>
    </row>
    <row r="950" spans="1:6" ht="30" x14ac:dyDescent="0.2">
      <c r="A950" s="94" t="s">
        <v>1300</v>
      </c>
      <c r="B950" s="98" t="s">
        <v>102</v>
      </c>
      <c r="C950" s="50" t="s">
        <v>1409</v>
      </c>
      <c r="D950" s="104" t="s">
        <v>1022</v>
      </c>
      <c r="E950" s="104" t="s">
        <v>1173</v>
      </c>
      <c r="F950" s="56"/>
    </row>
    <row r="951" spans="1:6" ht="30" x14ac:dyDescent="0.2">
      <c r="A951" s="94" t="s">
        <v>1300</v>
      </c>
      <c r="B951" s="98" t="s">
        <v>102</v>
      </c>
      <c r="C951" s="50" t="s">
        <v>1410</v>
      </c>
      <c r="D951" s="104" t="s">
        <v>1022</v>
      </c>
      <c r="E951" s="104" t="s">
        <v>1023</v>
      </c>
      <c r="F951" s="56"/>
    </row>
    <row r="952" spans="1:6" ht="30" x14ac:dyDescent="0.2">
      <c r="A952" s="94" t="s">
        <v>1300</v>
      </c>
      <c r="B952" s="98" t="s">
        <v>102</v>
      </c>
      <c r="C952" s="50" t="s">
        <v>1411</v>
      </c>
      <c r="D952" s="104" t="s">
        <v>1022</v>
      </c>
      <c r="E952" s="104" t="s">
        <v>1023</v>
      </c>
      <c r="F952" s="56"/>
    </row>
    <row r="953" spans="1:6" ht="30" x14ac:dyDescent="0.2">
      <c r="A953" s="94" t="s">
        <v>1300</v>
      </c>
      <c r="B953" s="98" t="s">
        <v>102</v>
      </c>
      <c r="C953" s="50" t="s">
        <v>1412</v>
      </c>
      <c r="D953" s="104" t="s">
        <v>1061</v>
      </c>
      <c r="E953" s="104" t="s">
        <v>1356</v>
      </c>
      <c r="F953" s="56"/>
    </row>
    <row r="954" spans="1:6" ht="30" x14ac:dyDescent="0.2">
      <c r="A954" s="94" t="s">
        <v>1300</v>
      </c>
      <c r="B954" s="98" t="s">
        <v>102</v>
      </c>
      <c r="C954" s="85" t="s">
        <v>1413</v>
      </c>
      <c r="D954" s="104" t="s">
        <v>1022</v>
      </c>
      <c r="E954" s="104" t="s">
        <v>1023</v>
      </c>
      <c r="F954" s="56"/>
    </row>
    <row r="955" spans="1:6" ht="30" x14ac:dyDescent="0.2">
      <c r="A955" s="94" t="s">
        <v>1300</v>
      </c>
      <c r="B955" s="98" t="s">
        <v>102</v>
      </c>
      <c r="C955" s="85" t="s">
        <v>1414</v>
      </c>
      <c r="D955" s="104" t="s">
        <v>1021</v>
      </c>
      <c r="E955" s="104" t="s">
        <v>70</v>
      </c>
      <c r="F955" s="56"/>
    </row>
    <row r="956" spans="1:6" ht="30" x14ac:dyDescent="0.2">
      <c r="A956" s="94" t="s">
        <v>1300</v>
      </c>
      <c r="B956" s="98" t="s">
        <v>102</v>
      </c>
      <c r="C956" s="85" t="s">
        <v>1415</v>
      </c>
      <c r="D956" s="104" t="s">
        <v>1022</v>
      </c>
      <c r="E956" s="104" t="s">
        <v>1023</v>
      </c>
      <c r="F956" s="56"/>
    </row>
    <row r="957" spans="1:6" ht="30" x14ac:dyDescent="0.2">
      <c r="A957" s="94" t="s">
        <v>1300</v>
      </c>
      <c r="B957" s="98" t="s">
        <v>102</v>
      </c>
      <c r="C957" s="85" t="s">
        <v>1416</v>
      </c>
      <c r="D957" s="104" t="s">
        <v>1022</v>
      </c>
      <c r="E957" s="104" t="s">
        <v>1023</v>
      </c>
      <c r="F957" s="56"/>
    </row>
    <row r="958" spans="1:6" ht="30" x14ac:dyDescent="0.2">
      <c r="A958" s="94" t="s">
        <v>1300</v>
      </c>
      <c r="B958" s="98" t="s">
        <v>102</v>
      </c>
      <c r="C958" s="85" t="s">
        <v>1417</v>
      </c>
      <c r="D958" s="104" t="s">
        <v>1041</v>
      </c>
      <c r="E958" s="104" t="s">
        <v>43</v>
      </c>
      <c r="F958" s="56"/>
    </row>
    <row r="959" spans="1:6" ht="30" x14ac:dyDescent="0.2">
      <c r="A959" s="94" t="s">
        <v>1300</v>
      </c>
      <c r="B959" s="98" t="s">
        <v>102</v>
      </c>
      <c r="C959" s="49" t="s">
        <v>1418</v>
      </c>
      <c r="D959" s="104" t="s">
        <v>1038</v>
      </c>
      <c r="E959" s="104" t="s">
        <v>1307</v>
      </c>
      <c r="F959" s="56"/>
    </row>
    <row r="960" spans="1:6" ht="30" x14ac:dyDescent="0.2">
      <c r="A960" s="94" t="s">
        <v>1300</v>
      </c>
      <c r="B960" s="98" t="s">
        <v>34</v>
      </c>
      <c r="C960" s="50" t="s">
        <v>1423</v>
      </c>
      <c r="D960" s="104" t="s">
        <v>1022</v>
      </c>
      <c r="E960" s="104" t="s">
        <v>1306</v>
      </c>
      <c r="F960" s="56"/>
    </row>
    <row r="961" spans="1:6" ht="30" x14ac:dyDescent="0.2">
      <c r="A961" s="94" t="s">
        <v>1300</v>
      </c>
      <c r="B961" s="98" t="s">
        <v>34</v>
      </c>
      <c r="C961" s="50" t="s">
        <v>1424</v>
      </c>
      <c r="D961" s="104" t="s">
        <v>1022</v>
      </c>
      <c r="E961" s="104" t="s">
        <v>1306</v>
      </c>
      <c r="F961" s="56"/>
    </row>
    <row r="962" spans="1:6" ht="30" x14ac:dyDescent="0.2">
      <c r="A962" s="94" t="s">
        <v>1300</v>
      </c>
      <c r="B962" s="98" t="s">
        <v>34</v>
      </c>
      <c r="C962" s="50" t="s">
        <v>1425</v>
      </c>
      <c r="D962" s="104" t="s">
        <v>1022</v>
      </c>
      <c r="E962" s="104" t="s">
        <v>1023</v>
      </c>
      <c r="F962" s="56"/>
    </row>
    <row r="963" spans="1:6" ht="30" x14ac:dyDescent="0.2">
      <c r="A963" s="94" t="s">
        <v>1300</v>
      </c>
      <c r="B963" s="98" t="s">
        <v>34</v>
      </c>
      <c r="C963" s="50" t="s">
        <v>1426</v>
      </c>
      <c r="D963" s="104" t="s">
        <v>1038</v>
      </c>
      <c r="E963" s="104" t="s">
        <v>1307</v>
      </c>
      <c r="F963" s="56"/>
    </row>
    <row r="964" spans="1:6" ht="30" x14ac:dyDescent="0.2">
      <c r="A964" s="94" t="s">
        <v>1300</v>
      </c>
      <c r="B964" s="98" t="s">
        <v>34</v>
      </c>
      <c r="C964" s="50" t="s">
        <v>1427</v>
      </c>
      <c r="D964" s="104" t="s">
        <v>1022</v>
      </c>
      <c r="E964" s="104" t="s">
        <v>1023</v>
      </c>
      <c r="F964" s="56"/>
    </row>
    <row r="965" spans="1:6" ht="30" x14ac:dyDescent="0.2">
      <c r="A965" s="94" t="s">
        <v>1300</v>
      </c>
      <c r="B965" s="98" t="s">
        <v>380</v>
      </c>
      <c r="C965" s="50" t="s">
        <v>1428</v>
      </c>
      <c r="D965" s="104" t="s">
        <v>1022</v>
      </c>
      <c r="E965" s="104" t="s">
        <v>1120</v>
      </c>
      <c r="F965" s="56"/>
    </row>
    <row r="966" spans="1:6" ht="30" x14ac:dyDescent="0.2">
      <c r="A966" s="94" t="s">
        <v>1300</v>
      </c>
      <c r="B966" s="98" t="s">
        <v>380</v>
      </c>
      <c r="C966" s="50" t="s">
        <v>1429</v>
      </c>
      <c r="D966" s="104" t="s">
        <v>1022</v>
      </c>
      <c r="E966" s="104" t="s">
        <v>1023</v>
      </c>
      <c r="F966" s="56"/>
    </row>
    <row r="967" spans="1:6" ht="42.75" x14ac:dyDescent="0.2">
      <c r="A967" s="94" t="s">
        <v>1300</v>
      </c>
      <c r="B967" s="98" t="s">
        <v>380</v>
      </c>
      <c r="C967" s="85" t="s">
        <v>1430</v>
      </c>
      <c r="D967" s="104" t="s">
        <v>1022</v>
      </c>
      <c r="E967" s="104" t="s">
        <v>1023</v>
      </c>
      <c r="F967" s="56"/>
    </row>
    <row r="968" spans="1:6" ht="30" x14ac:dyDescent="0.2">
      <c r="A968" s="94" t="s">
        <v>1300</v>
      </c>
      <c r="B968" s="98" t="s">
        <v>380</v>
      </c>
      <c r="C968" s="50" t="s">
        <v>1431</v>
      </c>
      <c r="D968" s="104" t="s">
        <v>1038</v>
      </c>
      <c r="E968" s="104" t="s">
        <v>1307</v>
      </c>
      <c r="F968" s="56"/>
    </row>
    <row r="969" spans="1:6" ht="30" x14ac:dyDescent="0.2">
      <c r="A969" s="94" t="s">
        <v>1300</v>
      </c>
      <c r="B969" s="98" t="s">
        <v>380</v>
      </c>
      <c r="C969" s="50" t="s">
        <v>1926</v>
      </c>
      <c r="D969" s="104" t="s">
        <v>1038</v>
      </c>
      <c r="E969" s="104" t="s">
        <v>1307</v>
      </c>
      <c r="F969" s="56"/>
    </row>
    <row r="970" spans="1:6" ht="30" x14ac:dyDescent="0.2">
      <c r="A970" s="94" t="s">
        <v>1300</v>
      </c>
      <c r="B970" s="98" t="s">
        <v>380</v>
      </c>
      <c r="C970" s="85" t="s">
        <v>1432</v>
      </c>
      <c r="D970" s="104" t="s">
        <v>1038</v>
      </c>
      <c r="E970" s="104" t="s">
        <v>1307</v>
      </c>
      <c r="F970" s="56"/>
    </row>
    <row r="971" spans="1:6" ht="30" x14ac:dyDescent="0.2">
      <c r="A971" s="94" t="s">
        <v>1300</v>
      </c>
      <c r="B971" s="98" t="s">
        <v>380</v>
      </c>
      <c r="C971" s="85" t="s">
        <v>1433</v>
      </c>
      <c r="D971" s="104" t="s">
        <v>1061</v>
      </c>
      <c r="E971" s="104" t="s">
        <v>1356</v>
      </c>
      <c r="F971" s="56"/>
    </row>
    <row r="972" spans="1:6" ht="42.75" x14ac:dyDescent="0.2">
      <c r="A972" s="94" t="s">
        <v>1300</v>
      </c>
      <c r="B972" s="98" t="s">
        <v>380</v>
      </c>
      <c r="C972" s="85" t="s">
        <v>1434</v>
      </c>
      <c r="D972" s="104" t="s">
        <v>1061</v>
      </c>
      <c r="E972" s="104" t="s">
        <v>1356</v>
      </c>
      <c r="F972" s="56"/>
    </row>
    <row r="973" spans="1:6" ht="30" x14ac:dyDescent="0.2">
      <c r="A973" s="94" t="s">
        <v>1300</v>
      </c>
      <c r="B973" s="98" t="s">
        <v>380</v>
      </c>
      <c r="C973" s="85" t="s">
        <v>1435</v>
      </c>
      <c r="D973" s="104" t="s">
        <v>1038</v>
      </c>
      <c r="E973" s="104" t="s">
        <v>1124</v>
      </c>
      <c r="F973" s="56"/>
    </row>
    <row r="974" spans="1:6" ht="57" x14ac:dyDescent="0.2">
      <c r="A974" s="94" t="s">
        <v>1300</v>
      </c>
      <c r="B974" s="98" t="s">
        <v>380</v>
      </c>
      <c r="C974" s="85" t="s">
        <v>1436</v>
      </c>
      <c r="D974" s="104" t="s">
        <v>1024</v>
      </c>
      <c r="E974" s="104" t="s">
        <v>1911</v>
      </c>
      <c r="F974" s="56"/>
    </row>
    <row r="975" spans="1:6" ht="42.75" x14ac:dyDescent="0.2">
      <c r="A975" s="94" t="s">
        <v>1300</v>
      </c>
      <c r="B975" s="98" t="s">
        <v>380</v>
      </c>
      <c r="C975" s="85" t="s">
        <v>1437</v>
      </c>
      <c r="D975" s="104" t="s">
        <v>1022</v>
      </c>
      <c r="E975" s="104" t="s">
        <v>1023</v>
      </c>
      <c r="F975" s="56"/>
    </row>
    <row r="976" spans="1:6" ht="30" x14ac:dyDescent="0.2">
      <c r="A976" s="94" t="s">
        <v>1300</v>
      </c>
      <c r="B976" s="98" t="s">
        <v>191</v>
      </c>
      <c r="C976" s="50" t="s">
        <v>1445</v>
      </c>
      <c r="D976" s="104" t="s">
        <v>1021</v>
      </c>
      <c r="E976" s="104" t="s">
        <v>1237</v>
      </c>
      <c r="F976" s="56"/>
    </row>
    <row r="977" spans="1:6" ht="42.75" x14ac:dyDescent="0.2">
      <c r="A977" s="94" t="s">
        <v>1300</v>
      </c>
      <c r="B977" s="98" t="s">
        <v>191</v>
      </c>
      <c r="C977" s="50" t="s">
        <v>1927</v>
      </c>
      <c r="D977" s="104" t="s">
        <v>1038</v>
      </c>
      <c r="E977" s="104" t="s">
        <v>1124</v>
      </c>
      <c r="F977" s="56"/>
    </row>
    <row r="978" spans="1:6" x14ac:dyDescent="0.2">
      <c r="A978" s="94" t="s">
        <v>1300</v>
      </c>
      <c r="B978" s="98" t="s">
        <v>391</v>
      </c>
      <c r="C978" s="50" t="s">
        <v>1447</v>
      </c>
      <c r="D978" s="104" t="s">
        <v>1024</v>
      </c>
      <c r="E978" s="104" t="s">
        <v>172</v>
      </c>
      <c r="F978" s="56"/>
    </row>
    <row r="979" spans="1:6" ht="42.75" x14ac:dyDescent="0.2">
      <c r="A979" s="94" t="s">
        <v>1300</v>
      </c>
      <c r="B979" s="98" t="s">
        <v>391</v>
      </c>
      <c r="C979" s="50" t="s">
        <v>1448</v>
      </c>
      <c r="D979" s="104" t="s">
        <v>1024</v>
      </c>
      <c r="E979" s="104" t="s">
        <v>172</v>
      </c>
      <c r="F979" s="56"/>
    </row>
    <row r="980" spans="1:6" ht="30" x14ac:dyDescent="0.2">
      <c r="A980" s="94" t="s">
        <v>1300</v>
      </c>
      <c r="B980" s="98" t="s">
        <v>8</v>
      </c>
      <c r="C980" s="50" t="s">
        <v>1449</v>
      </c>
      <c r="D980" s="104" t="s">
        <v>1022</v>
      </c>
      <c r="E980" s="104" t="s">
        <v>1120</v>
      </c>
      <c r="F980" s="56"/>
    </row>
    <row r="981" spans="1:6" ht="30" x14ac:dyDescent="0.2">
      <c r="A981" s="94" t="s">
        <v>1300</v>
      </c>
      <c r="B981" s="98" t="s">
        <v>8</v>
      </c>
      <c r="C981" s="50" t="s">
        <v>1450</v>
      </c>
      <c r="D981" s="104" t="s">
        <v>1024</v>
      </c>
      <c r="E981" s="104" t="s">
        <v>172</v>
      </c>
      <c r="F981" s="56"/>
    </row>
    <row r="982" spans="1:6" ht="30" x14ac:dyDescent="0.2">
      <c r="A982" s="94" t="s">
        <v>1300</v>
      </c>
      <c r="B982" s="98" t="s">
        <v>8</v>
      </c>
      <c r="C982" s="50" t="s">
        <v>1451</v>
      </c>
      <c r="D982" s="104" t="s">
        <v>1022</v>
      </c>
      <c r="E982" s="104" t="s">
        <v>1306</v>
      </c>
      <c r="F982" s="56"/>
    </row>
    <row r="983" spans="1:6" ht="30" x14ac:dyDescent="0.2">
      <c r="A983" s="94" t="s">
        <v>1300</v>
      </c>
      <c r="B983" s="98" t="s">
        <v>8</v>
      </c>
      <c r="C983" s="50" t="s">
        <v>1452</v>
      </c>
      <c r="D983" s="104" t="s">
        <v>1022</v>
      </c>
      <c r="E983" s="104" t="s">
        <v>1023</v>
      </c>
      <c r="F983" s="56"/>
    </row>
    <row r="984" spans="1:6" ht="30" x14ac:dyDescent="0.2">
      <c r="A984" s="94" t="s">
        <v>1300</v>
      </c>
      <c r="B984" s="98" t="s">
        <v>8</v>
      </c>
      <c r="C984" s="50" t="s">
        <v>1453</v>
      </c>
      <c r="D984" s="104" t="s">
        <v>1022</v>
      </c>
      <c r="E984" s="104" t="s">
        <v>1023</v>
      </c>
      <c r="F984" s="56"/>
    </row>
    <row r="985" spans="1:6" ht="30" x14ac:dyDescent="0.2">
      <c r="A985" s="94" t="s">
        <v>1300</v>
      </c>
      <c r="B985" s="98" t="s">
        <v>8</v>
      </c>
      <c r="C985" s="50" t="s">
        <v>1454</v>
      </c>
      <c r="D985" s="104" t="s">
        <v>1022</v>
      </c>
      <c r="E985" s="104" t="s">
        <v>1023</v>
      </c>
      <c r="F985" s="56"/>
    </row>
    <row r="986" spans="1:6" ht="30" x14ac:dyDescent="0.2">
      <c r="A986" s="94" t="s">
        <v>1300</v>
      </c>
      <c r="B986" s="98" t="s">
        <v>481</v>
      </c>
      <c r="C986" s="50" t="s">
        <v>1455</v>
      </c>
      <c r="D986" s="104" t="s">
        <v>1038</v>
      </c>
      <c r="E986" s="104" t="s">
        <v>1307</v>
      </c>
      <c r="F986" s="56"/>
    </row>
    <row r="987" spans="1:6" ht="30" x14ac:dyDescent="0.2">
      <c r="A987" s="94" t="s">
        <v>1300</v>
      </c>
      <c r="B987" s="98" t="s">
        <v>481</v>
      </c>
      <c r="C987" s="50" t="s">
        <v>1456</v>
      </c>
      <c r="D987" s="104" t="s">
        <v>1061</v>
      </c>
      <c r="E987" s="104" t="s">
        <v>1062</v>
      </c>
      <c r="F987" s="56"/>
    </row>
    <row r="988" spans="1:6" ht="30" x14ac:dyDescent="0.2">
      <c r="A988" s="94" t="s">
        <v>1300</v>
      </c>
      <c r="B988" s="98" t="s">
        <v>481</v>
      </c>
      <c r="C988" s="50" t="s">
        <v>1457</v>
      </c>
      <c r="D988" s="104" t="s">
        <v>1061</v>
      </c>
      <c r="E988" s="104" t="s">
        <v>1062</v>
      </c>
      <c r="F988" s="56"/>
    </row>
    <row r="989" spans="1:6" ht="30" x14ac:dyDescent="0.2">
      <c r="A989" s="94" t="s">
        <v>1300</v>
      </c>
      <c r="B989" s="98" t="s">
        <v>481</v>
      </c>
      <c r="C989" s="50" t="s">
        <v>1458</v>
      </c>
      <c r="D989" s="104" t="s">
        <v>1061</v>
      </c>
      <c r="E989" s="104" t="s">
        <v>1062</v>
      </c>
      <c r="F989" s="56"/>
    </row>
    <row r="990" spans="1:6" ht="57" x14ac:dyDescent="0.2">
      <c r="A990" s="94" t="s">
        <v>1300</v>
      </c>
      <c r="B990" s="98" t="s">
        <v>481</v>
      </c>
      <c r="C990" s="50" t="s">
        <v>1459</v>
      </c>
      <c r="D990" s="104" t="s">
        <v>1038</v>
      </c>
      <c r="E990" s="104" t="s">
        <v>1307</v>
      </c>
      <c r="F990" s="56"/>
    </row>
    <row r="991" spans="1:6" ht="57" x14ac:dyDescent="0.2">
      <c r="A991" s="94" t="s">
        <v>1300</v>
      </c>
      <c r="B991" s="98" t="s">
        <v>481</v>
      </c>
      <c r="C991" s="50" t="s">
        <v>1460</v>
      </c>
      <c r="D991" s="104" t="s">
        <v>1038</v>
      </c>
      <c r="E991" s="104" t="s">
        <v>1307</v>
      </c>
      <c r="F991" s="56"/>
    </row>
    <row r="992" spans="1:6" ht="30" x14ac:dyDescent="0.2">
      <c r="A992" s="94" t="s">
        <v>1300</v>
      </c>
      <c r="B992" s="98" t="s">
        <v>481</v>
      </c>
      <c r="C992" s="85" t="s">
        <v>1461</v>
      </c>
      <c r="D992" s="104" t="s">
        <v>1024</v>
      </c>
      <c r="E992" s="104" t="s">
        <v>172</v>
      </c>
      <c r="F992" s="56"/>
    </row>
    <row r="993" spans="1:6" ht="30" x14ac:dyDescent="0.2">
      <c r="A993" s="94" t="s">
        <v>1300</v>
      </c>
      <c r="B993" s="98" t="s">
        <v>481</v>
      </c>
      <c r="C993" s="85" t="s">
        <v>1462</v>
      </c>
      <c r="D993" s="104" t="s">
        <v>1024</v>
      </c>
      <c r="E993" s="104" t="s">
        <v>172</v>
      </c>
      <c r="F993" s="56"/>
    </row>
    <row r="994" spans="1:6" ht="30" x14ac:dyDescent="0.2">
      <c r="A994" s="94" t="s">
        <v>1300</v>
      </c>
      <c r="B994" s="98" t="s">
        <v>139</v>
      </c>
      <c r="C994" s="50" t="s">
        <v>1463</v>
      </c>
      <c r="D994" s="104" t="s">
        <v>1022</v>
      </c>
      <c r="E994" s="104" t="s">
        <v>1023</v>
      </c>
      <c r="F994" s="56"/>
    </row>
    <row r="995" spans="1:6" ht="30" x14ac:dyDescent="0.2">
      <c r="A995" s="94" t="s">
        <v>1300</v>
      </c>
      <c r="B995" s="98" t="s">
        <v>139</v>
      </c>
      <c r="C995" s="50" t="s">
        <v>1464</v>
      </c>
      <c r="D995" s="104" t="s">
        <v>1038</v>
      </c>
      <c r="E995" s="104" t="s">
        <v>1124</v>
      </c>
      <c r="F995" s="56"/>
    </row>
    <row r="996" spans="1:6" ht="30" x14ac:dyDescent="0.2">
      <c r="A996" s="94" t="s">
        <v>1300</v>
      </c>
      <c r="B996" s="98" t="s">
        <v>139</v>
      </c>
      <c r="C996" s="50" t="s">
        <v>1465</v>
      </c>
      <c r="D996" s="104" t="s">
        <v>1022</v>
      </c>
      <c r="E996" s="104" t="s">
        <v>1023</v>
      </c>
      <c r="F996" s="56"/>
    </row>
    <row r="997" spans="1:6" ht="30" x14ac:dyDescent="0.2">
      <c r="A997" s="94" t="s">
        <v>1300</v>
      </c>
      <c r="B997" s="98" t="s">
        <v>139</v>
      </c>
      <c r="C997" s="50" t="s">
        <v>1466</v>
      </c>
      <c r="D997" s="104" t="s">
        <v>1061</v>
      </c>
      <c r="E997" s="104" t="s">
        <v>1062</v>
      </c>
      <c r="F997" s="56"/>
    </row>
    <row r="998" spans="1:6" ht="30" x14ac:dyDescent="0.2">
      <c r="A998" s="94" t="s">
        <v>1300</v>
      </c>
      <c r="B998" s="98" t="s">
        <v>139</v>
      </c>
      <c r="C998" s="50" t="s">
        <v>1467</v>
      </c>
      <c r="D998" s="104" t="s">
        <v>1061</v>
      </c>
      <c r="E998" s="104" t="s">
        <v>1356</v>
      </c>
      <c r="F998" s="56"/>
    </row>
    <row r="999" spans="1:6" ht="30" x14ac:dyDescent="0.2">
      <c r="A999" s="94" t="s">
        <v>1300</v>
      </c>
      <c r="B999" s="98" t="s">
        <v>139</v>
      </c>
      <c r="C999" s="123" t="s">
        <v>1470</v>
      </c>
      <c r="D999" s="104" t="s">
        <v>1038</v>
      </c>
      <c r="E999" s="104" t="s">
        <v>1307</v>
      </c>
      <c r="F999" s="56"/>
    </row>
    <row r="1000" spans="1:6" ht="30" x14ac:dyDescent="0.2">
      <c r="A1000" s="94" t="s">
        <v>1300</v>
      </c>
      <c r="B1000" s="98" t="s">
        <v>139</v>
      </c>
      <c r="C1000" s="123" t="s">
        <v>1468</v>
      </c>
      <c r="D1000" s="104" t="s">
        <v>1038</v>
      </c>
      <c r="E1000" s="104" t="s">
        <v>1307</v>
      </c>
      <c r="F1000" s="56"/>
    </row>
    <row r="1001" spans="1:6" ht="30" x14ac:dyDescent="0.2">
      <c r="A1001" s="94" t="s">
        <v>1300</v>
      </c>
      <c r="B1001" s="98" t="s">
        <v>139</v>
      </c>
      <c r="C1001" s="123" t="s">
        <v>1469</v>
      </c>
      <c r="D1001" s="104" t="s">
        <v>1061</v>
      </c>
      <c r="E1001" s="104" t="s">
        <v>1356</v>
      </c>
      <c r="F1001" s="56"/>
    </row>
    <row r="1002" spans="1:6" ht="30" x14ac:dyDescent="0.2">
      <c r="A1002" s="94" t="s">
        <v>1300</v>
      </c>
      <c r="B1002" s="98" t="s">
        <v>423</v>
      </c>
      <c r="C1002" s="50" t="s">
        <v>1477</v>
      </c>
      <c r="D1002" s="104" t="s">
        <v>1022</v>
      </c>
      <c r="E1002" s="104" t="s">
        <v>1306</v>
      </c>
      <c r="F1002" s="56"/>
    </row>
    <row r="1003" spans="1:6" ht="42.75" x14ac:dyDescent="0.2">
      <c r="A1003" s="94" t="s">
        <v>1300</v>
      </c>
      <c r="B1003" s="98" t="s">
        <v>423</v>
      </c>
      <c r="C1003" s="50" t="s">
        <v>1478</v>
      </c>
      <c r="D1003" s="104" t="s">
        <v>1061</v>
      </c>
      <c r="E1003" s="104" t="s">
        <v>1356</v>
      </c>
      <c r="F1003" s="56"/>
    </row>
    <row r="1004" spans="1:6" ht="30" x14ac:dyDescent="0.2">
      <c r="A1004" s="94" t="s">
        <v>1300</v>
      </c>
      <c r="B1004" s="98" t="s">
        <v>423</v>
      </c>
      <c r="C1004" s="50" t="s">
        <v>1479</v>
      </c>
      <c r="D1004" s="104" t="s">
        <v>1022</v>
      </c>
      <c r="E1004" s="104" t="s">
        <v>1023</v>
      </c>
      <c r="F1004" s="56"/>
    </row>
    <row r="1005" spans="1:6" ht="30" x14ac:dyDescent="0.2">
      <c r="A1005" s="94" t="s">
        <v>1300</v>
      </c>
      <c r="B1005" s="98" t="s">
        <v>423</v>
      </c>
      <c r="C1005" s="50" t="s">
        <v>1480</v>
      </c>
      <c r="D1005" s="104" t="s">
        <v>1038</v>
      </c>
      <c r="E1005" s="104" t="s">
        <v>1307</v>
      </c>
      <c r="F1005" s="56"/>
    </row>
    <row r="1006" spans="1:6" ht="57" x14ac:dyDescent="0.2">
      <c r="A1006" s="94" t="s">
        <v>1300</v>
      </c>
      <c r="B1006" s="98" t="s">
        <v>455</v>
      </c>
      <c r="C1006" s="50" t="s">
        <v>1482</v>
      </c>
      <c r="D1006" s="104" t="s">
        <v>1021</v>
      </c>
      <c r="E1006" s="104" t="s">
        <v>70</v>
      </c>
      <c r="F1006" s="56"/>
    </row>
    <row r="1007" spans="1:6" ht="42.75" x14ac:dyDescent="0.2">
      <c r="A1007" s="94" t="s">
        <v>1300</v>
      </c>
      <c r="B1007" s="98" t="s">
        <v>455</v>
      </c>
      <c r="C1007" s="50" t="s">
        <v>1483</v>
      </c>
      <c r="D1007" s="104" t="s">
        <v>1061</v>
      </c>
      <c r="E1007" s="104" t="s">
        <v>1062</v>
      </c>
      <c r="F1007" s="56"/>
    </row>
    <row r="1008" spans="1:6" ht="30" x14ac:dyDescent="0.2">
      <c r="A1008" s="94" t="s">
        <v>1300</v>
      </c>
      <c r="B1008" s="98" t="s">
        <v>455</v>
      </c>
      <c r="C1008" s="50" t="s">
        <v>1484</v>
      </c>
      <c r="D1008" s="104" t="s">
        <v>1022</v>
      </c>
      <c r="E1008" s="104" t="s">
        <v>1173</v>
      </c>
      <c r="F1008" s="56"/>
    </row>
    <row r="1009" spans="1:6" ht="42.75" x14ac:dyDescent="0.2">
      <c r="A1009" s="94" t="s">
        <v>1300</v>
      </c>
      <c r="B1009" s="98" t="s">
        <v>455</v>
      </c>
      <c r="C1009" s="85" t="s">
        <v>1485</v>
      </c>
      <c r="D1009" s="104" t="s">
        <v>1061</v>
      </c>
      <c r="E1009" s="104" t="s">
        <v>1356</v>
      </c>
      <c r="F1009" s="56"/>
    </row>
    <row r="1010" spans="1:6" ht="30" x14ac:dyDescent="0.2">
      <c r="A1010" s="94" t="s">
        <v>1300</v>
      </c>
      <c r="B1010" s="98" t="s">
        <v>455</v>
      </c>
      <c r="C1010" s="50" t="s">
        <v>1486</v>
      </c>
      <c r="D1010" s="104" t="s">
        <v>1061</v>
      </c>
      <c r="E1010" s="104" t="s">
        <v>1356</v>
      </c>
      <c r="F1010" s="56"/>
    </row>
    <row r="1011" spans="1:6" ht="42.75" x14ac:dyDescent="0.2">
      <c r="A1011" s="94" t="s">
        <v>1300</v>
      </c>
      <c r="B1011" s="98" t="s">
        <v>455</v>
      </c>
      <c r="C1011" s="85" t="s">
        <v>1487</v>
      </c>
      <c r="D1011" s="104" t="s">
        <v>1024</v>
      </c>
      <c r="E1011" s="104" t="s">
        <v>1911</v>
      </c>
      <c r="F1011" s="56"/>
    </row>
    <row r="1012" spans="1:6" ht="30" x14ac:dyDescent="0.2">
      <c r="A1012" s="94" t="s">
        <v>1300</v>
      </c>
      <c r="B1012" s="98" t="s">
        <v>455</v>
      </c>
      <c r="C1012" s="85" t="s">
        <v>1488</v>
      </c>
      <c r="D1012" s="104" t="s">
        <v>1038</v>
      </c>
      <c r="E1012" s="104" t="s">
        <v>1307</v>
      </c>
      <c r="F1012" s="56"/>
    </row>
    <row r="1013" spans="1:6" ht="30" x14ac:dyDescent="0.2">
      <c r="A1013" s="94" t="s">
        <v>1300</v>
      </c>
      <c r="B1013" s="98" t="s">
        <v>279</v>
      </c>
      <c r="C1013" s="50" t="s">
        <v>1495</v>
      </c>
      <c r="D1013" s="104" t="s">
        <v>1038</v>
      </c>
      <c r="E1013" s="104" t="s">
        <v>1307</v>
      </c>
      <c r="F1013" s="56"/>
    </row>
    <row r="1014" spans="1:6" ht="30" x14ac:dyDescent="0.2">
      <c r="A1014" s="94" t="s">
        <v>1300</v>
      </c>
      <c r="B1014" s="98" t="s">
        <v>279</v>
      </c>
      <c r="C1014" s="50" t="s">
        <v>1496</v>
      </c>
      <c r="D1014" s="104" t="s">
        <v>1038</v>
      </c>
      <c r="E1014" s="104" t="s">
        <v>1307</v>
      </c>
      <c r="F1014" s="56"/>
    </row>
    <row r="1015" spans="1:6" ht="30" x14ac:dyDescent="0.2">
      <c r="A1015" s="94" t="s">
        <v>1300</v>
      </c>
      <c r="B1015" s="98" t="s">
        <v>279</v>
      </c>
      <c r="C1015" s="50" t="s">
        <v>1497</v>
      </c>
      <c r="D1015" s="104" t="s">
        <v>1061</v>
      </c>
      <c r="E1015" s="104" t="s">
        <v>1356</v>
      </c>
      <c r="F1015" s="56"/>
    </row>
    <row r="1016" spans="1:6" ht="30" x14ac:dyDescent="0.2">
      <c r="A1016" s="94" t="s">
        <v>1300</v>
      </c>
      <c r="B1016" s="98" t="s">
        <v>279</v>
      </c>
      <c r="C1016" s="50" t="s">
        <v>1498</v>
      </c>
      <c r="D1016" s="104" t="s">
        <v>1024</v>
      </c>
      <c r="E1016" s="104" t="s">
        <v>172</v>
      </c>
      <c r="F1016" s="56"/>
    </row>
    <row r="1017" spans="1:6" ht="57" x14ac:dyDescent="0.2">
      <c r="A1017" s="94" t="s">
        <v>1300</v>
      </c>
      <c r="B1017" s="98" t="s">
        <v>279</v>
      </c>
      <c r="C1017" s="49" t="s">
        <v>1928</v>
      </c>
      <c r="D1017" s="104" t="s">
        <v>1038</v>
      </c>
      <c r="E1017" s="104" t="s">
        <v>1307</v>
      </c>
      <c r="F1017" s="56"/>
    </row>
    <row r="1018" spans="1:6" ht="42.75" x14ac:dyDescent="0.2">
      <c r="A1018" s="94" t="s">
        <v>1300</v>
      </c>
      <c r="B1018" s="98" t="s">
        <v>279</v>
      </c>
      <c r="C1018" s="49" t="s">
        <v>1929</v>
      </c>
      <c r="D1018" s="104" t="s">
        <v>1038</v>
      </c>
      <c r="E1018" s="104" t="s">
        <v>1307</v>
      </c>
      <c r="F1018" s="56"/>
    </row>
    <row r="1019" spans="1:6" ht="45" x14ac:dyDescent="0.2">
      <c r="A1019" s="94" t="s">
        <v>1300</v>
      </c>
      <c r="B1019" s="98" t="s">
        <v>507</v>
      </c>
      <c r="C1019" s="96" t="s">
        <v>1503</v>
      </c>
      <c r="D1019" s="104" t="s">
        <v>1038</v>
      </c>
      <c r="E1019" s="104" t="s">
        <v>1307</v>
      </c>
      <c r="F1019" s="56"/>
    </row>
    <row r="1020" spans="1:6" ht="57" x14ac:dyDescent="0.2">
      <c r="A1020" s="94" t="s">
        <v>1300</v>
      </c>
      <c r="B1020" s="98" t="s">
        <v>507</v>
      </c>
      <c r="C1020" s="96" t="s">
        <v>1504</v>
      </c>
      <c r="D1020" s="104" t="s">
        <v>1024</v>
      </c>
      <c r="E1020" s="104" t="s">
        <v>172</v>
      </c>
      <c r="F1020" s="56"/>
    </row>
    <row r="1021" spans="1:6" ht="45" x14ac:dyDescent="0.2">
      <c r="A1021" s="94" t="s">
        <v>1300</v>
      </c>
      <c r="B1021" s="98" t="s">
        <v>507</v>
      </c>
      <c r="C1021" s="96" t="s">
        <v>1505</v>
      </c>
      <c r="D1021" s="104" t="s">
        <v>1038</v>
      </c>
      <c r="E1021" s="104" t="s">
        <v>1051</v>
      </c>
      <c r="F1021" s="56"/>
    </row>
    <row r="1022" spans="1:6" ht="45" x14ac:dyDescent="0.2">
      <c r="A1022" s="94" t="s">
        <v>1300</v>
      </c>
      <c r="B1022" s="98" t="s">
        <v>507</v>
      </c>
      <c r="C1022" s="96" t="s">
        <v>1506</v>
      </c>
      <c r="D1022" s="104" t="s">
        <v>1038</v>
      </c>
      <c r="E1022" s="104" t="s">
        <v>1051</v>
      </c>
      <c r="F1022" s="56"/>
    </row>
    <row r="1023" spans="1:6" ht="45" x14ac:dyDescent="0.2">
      <c r="A1023" s="94" t="s">
        <v>1300</v>
      </c>
      <c r="B1023" s="98" t="s">
        <v>507</v>
      </c>
      <c r="C1023" s="109" t="s">
        <v>1507</v>
      </c>
      <c r="D1023" s="104" t="s">
        <v>1021</v>
      </c>
      <c r="E1023" s="104" t="s">
        <v>1311</v>
      </c>
      <c r="F1023" s="56"/>
    </row>
    <row r="1024" spans="1:6" ht="45" x14ac:dyDescent="0.2">
      <c r="A1024" s="94" t="s">
        <v>1300</v>
      </c>
      <c r="B1024" s="98" t="s">
        <v>507</v>
      </c>
      <c r="C1024" s="109" t="s">
        <v>1508</v>
      </c>
      <c r="D1024" s="104" t="s">
        <v>1024</v>
      </c>
      <c r="E1024" s="104" t="s">
        <v>172</v>
      </c>
      <c r="F1024" s="56"/>
    </row>
    <row r="1025" spans="1:6" ht="45" x14ac:dyDescent="0.2">
      <c r="A1025" s="94" t="s">
        <v>1300</v>
      </c>
      <c r="B1025" s="98" t="s">
        <v>507</v>
      </c>
      <c r="C1025" s="109" t="s">
        <v>1509</v>
      </c>
      <c r="D1025" s="104" t="s">
        <v>1024</v>
      </c>
      <c r="E1025" s="104" t="s">
        <v>1025</v>
      </c>
      <c r="F1025" s="56"/>
    </row>
    <row r="1026" spans="1:6" ht="45" x14ac:dyDescent="0.2">
      <c r="A1026" s="94" t="s">
        <v>1300</v>
      </c>
      <c r="B1026" s="98" t="s">
        <v>507</v>
      </c>
      <c r="C1026" s="109" t="s">
        <v>1510</v>
      </c>
      <c r="D1026" s="104" t="s">
        <v>1024</v>
      </c>
      <c r="E1026" s="104" t="s">
        <v>172</v>
      </c>
      <c r="F1026" s="56"/>
    </row>
    <row r="1027" spans="1:6" ht="30" x14ac:dyDescent="0.2">
      <c r="A1027" s="94" t="s">
        <v>1300</v>
      </c>
      <c r="B1027" s="98" t="s">
        <v>541</v>
      </c>
      <c r="C1027" s="132" t="s">
        <v>1517</v>
      </c>
      <c r="D1027" s="104" t="s">
        <v>1022</v>
      </c>
      <c r="E1027" s="104" t="s">
        <v>1120</v>
      </c>
    </row>
    <row r="1028" spans="1:6" ht="30" x14ac:dyDescent="0.2">
      <c r="A1028" s="94" t="s">
        <v>1300</v>
      </c>
      <c r="B1028" s="98" t="s">
        <v>541</v>
      </c>
      <c r="C1028" s="132" t="s">
        <v>1518</v>
      </c>
      <c r="D1028" s="104" t="s">
        <v>1024</v>
      </c>
      <c r="E1028" s="104" t="s">
        <v>172</v>
      </c>
    </row>
    <row r="1029" spans="1:6" ht="30" x14ac:dyDescent="0.2">
      <c r="A1029" s="94" t="s">
        <v>1300</v>
      </c>
      <c r="B1029" s="98" t="s">
        <v>541</v>
      </c>
      <c r="C1029" s="132" t="s">
        <v>1519</v>
      </c>
      <c r="D1029" s="104" t="s">
        <v>1021</v>
      </c>
      <c r="E1029" s="104" t="s">
        <v>1311</v>
      </c>
    </row>
    <row r="1030" spans="1:6" ht="30" x14ac:dyDescent="0.2">
      <c r="A1030" s="94" t="s">
        <v>1300</v>
      </c>
      <c r="B1030" s="98" t="s">
        <v>541</v>
      </c>
      <c r="C1030" s="101" t="s">
        <v>1930</v>
      </c>
      <c r="D1030" s="104" t="s">
        <v>1022</v>
      </c>
      <c r="E1030" s="104" t="s">
        <v>1023</v>
      </c>
    </row>
    <row r="1031" spans="1:6" ht="30" x14ac:dyDescent="0.2">
      <c r="A1031" s="94" t="s">
        <v>1300</v>
      </c>
      <c r="B1031" s="98" t="s">
        <v>541</v>
      </c>
      <c r="C1031" s="101" t="s">
        <v>1521</v>
      </c>
      <c r="D1031" s="104" t="s">
        <v>1022</v>
      </c>
      <c r="E1031" s="104" t="s">
        <v>1306</v>
      </c>
    </row>
    <row r="1032" spans="1:6" ht="30" x14ac:dyDescent="0.2">
      <c r="A1032" s="94" t="s">
        <v>1300</v>
      </c>
      <c r="B1032" s="98" t="s">
        <v>541</v>
      </c>
      <c r="C1032" s="101" t="s">
        <v>1522</v>
      </c>
      <c r="D1032" s="104" t="s">
        <v>1061</v>
      </c>
      <c r="E1032" s="104" t="s">
        <v>1062</v>
      </c>
    </row>
    <row r="1033" spans="1:6" ht="30" x14ac:dyDescent="0.2">
      <c r="A1033" s="94" t="s">
        <v>1300</v>
      </c>
      <c r="B1033" s="98" t="s">
        <v>541</v>
      </c>
      <c r="C1033" s="95" t="s">
        <v>1931</v>
      </c>
      <c r="D1033" s="104" t="s">
        <v>1022</v>
      </c>
      <c r="E1033" s="104" t="s">
        <v>1306</v>
      </c>
    </row>
    <row r="1034" spans="1:6" ht="42.75" x14ac:dyDescent="0.2">
      <c r="A1034" s="94" t="s">
        <v>1300</v>
      </c>
      <c r="B1034" s="98" t="s">
        <v>541</v>
      </c>
      <c r="C1034" s="95" t="s">
        <v>1515</v>
      </c>
      <c r="D1034" s="104" t="s">
        <v>1038</v>
      </c>
      <c r="E1034" s="104" t="s">
        <v>1307</v>
      </c>
    </row>
    <row r="1035" spans="1:6" ht="30" x14ac:dyDescent="0.2">
      <c r="A1035" s="94" t="s">
        <v>1300</v>
      </c>
      <c r="B1035" s="98" t="s">
        <v>541</v>
      </c>
      <c r="C1035" s="101" t="s">
        <v>1516</v>
      </c>
      <c r="D1035" s="104" t="s">
        <v>1021</v>
      </c>
      <c r="E1035" s="104" t="s">
        <v>1311</v>
      </c>
    </row>
  </sheetData>
  <autoFilter ref="A2:F1035" xr:uid="{00000000-0009-0000-0000-00000300000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503"/>
  <sheetViews>
    <sheetView zoomScale="90" zoomScaleNormal="90" workbookViewId="0">
      <selection activeCell="C3" sqref="C1:D1048576"/>
    </sheetView>
  </sheetViews>
  <sheetFormatPr baseColWidth="10" defaultColWidth="11.42578125" defaultRowHeight="16.5" x14ac:dyDescent="0.25"/>
  <cols>
    <col min="1" max="1" width="44.42578125" style="1" customWidth="1"/>
    <col min="2" max="2" width="27.85546875" style="117" customWidth="1"/>
    <col min="3" max="3" width="58" style="1" bestFit="1" customWidth="1"/>
    <col min="4" max="4" width="27.85546875" style="117" customWidth="1"/>
    <col min="5" max="5" width="12.28515625" style="76" customWidth="1"/>
    <col min="6" max="6" width="22.28515625" style="1" customWidth="1"/>
    <col min="7" max="7" width="10.140625" style="1" customWidth="1"/>
    <col min="8" max="8" width="9.140625" style="1" customWidth="1"/>
    <col min="9" max="9" width="12.28515625" style="1" customWidth="1"/>
    <col min="10" max="29" width="11.42578125" style="1"/>
  </cols>
  <sheetData>
    <row r="1" spans="1:29" s="119" customFormat="1" ht="15" x14ac:dyDescent="0.25">
      <c r="A1"/>
      <c r="B1"/>
      <c r="C1" s="216">
        <v>2021</v>
      </c>
      <c r="D1" s="217"/>
      <c r="E1" s="118"/>
      <c r="F1" s="2"/>
      <c r="G1" s="2"/>
      <c r="H1" s="2"/>
      <c r="I1" s="2"/>
      <c r="J1" s="2"/>
      <c r="K1" s="2"/>
      <c r="L1" s="2"/>
      <c r="M1" s="2"/>
      <c r="N1" s="2"/>
      <c r="O1" s="2"/>
      <c r="P1" s="2"/>
      <c r="Q1" s="2"/>
      <c r="R1" s="2"/>
      <c r="S1" s="2"/>
      <c r="T1" s="2"/>
      <c r="U1" s="2"/>
      <c r="V1" s="2"/>
      <c r="W1" s="2"/>
      <c r="X1" s="2"/>
      <c r="Y1" s="2"/>
      <c r="Z1" s="2"/>
      <c r="AA1" s="2"/>
      <c r="AB1" s="2"/>
      <c r="AC1" s="2"/>
    </row>
    <row r="2" spans="1:29" s="119" customFormat="1" ht="15.75" thickBot="1" x14ac:dyDescent="0.3">
      <c r="A2" s="146"/>
      <c r="B2" s="147"/>
      <c r="C2" s="218"/>
      <c r="D2" s="219"/>
      <c r="E2" s="118"/>
      <c r="F2" s="2"/>
      <c r="G2" s="2"/>
      <c r="H2" s="2"/>
      <c r="I2" s="2"/>
      <c r="J2" s="2"/>
      <c r="K2" s="2"/>
      <c r="L2" s="2"/>
      <c r="M2" s="2"/>
      <c r="N2" s="2"/>
      <c r="O2" s="2"/>
      <c r="P2" s="2"/>
      <c r="Q2" s="2"/>
      <c r="R2" s="2"/>
      <c r="S2" s="2"/>
      <c r="T2" s="2"/>
      <c r="U2" s="2"/>
      <c r="V2" s="2"/>
      <c r="W2" s="2"/>
      <c r="X2" s="2"/>
      <c r="Y2" s="2"/>
      <c r="Z2" s="2"/>
      <c r="AA2" s="2"/>
      <c r="AB2" s="2"/>
      <c r="AC2" s="2"/>
    </row>
    <row r="3" spans="1:29" ht="17.25" thickBot="1" x14ac:dyDescent="0.3">
      <c r="A3" s="1" t="s">
        <v>1932</v>
      </c>
      <c r="B3" s="117" t="s">
        <v>1933</v>
      </c>
      <c r="C3" s="1" t="s">
        <v>1932</v>
      </c>
      <c r="D3" s="117" t="s">
        <v>1934</v>
      </c>
      <c r="E3" s="81" t="s">
        <v>1935</v>
      </c>
      <c r="F3" s="66"/>
      <c r="G3" s="67" t="s">
        <v>1936</v>
      </c>
      <c r="H3" s="68" t="s">
        <v>1937</v>
      </c>
      <c r="I3" s="69" t="s">
        <v>1938</v>
      </c>
      <c r="J3" s="66"/>
      <c r="K3" s="66"/>
      <c r="L3" s="66"/>
      <c r="M3" s="66"/>
      <c r="N3" s="66"/>
      <c r="O3" s="66"/>
      <c r="P3" s="66"/>
      <c r="Q3" s="66"/>
      <c r="R3" s="66"/>
      <c r="S3" s="66"/>
      <c r="T3" s="66"/>
      <c r="U3" s="66"/>
      <c r="V3" s="66"/>
      <c r="W3" s="66"/>
      <c r="X3" s="66"/>
      <c r="Y3" s="66"/>
      <c r="Z3" s="66"/>
      <c r="AA3" s="66"/>
      <c r="AB3" s="66"/>
      <c r="AC3" s="66"/>
    </row>
    <row r="4" spans="1:29" ht="15" x14ac:dyDescent="0.25">
      <c r="A4" s="148">
        <v>2022</v>
      </c>
      <c r="C4" s="134" t="s">
        <v>1837</v>
      </c>
      <c r="D4" s="135">
        <v>113</v>
      </c>
      <c r="E4" s="83"/>
      <c r="F4" s="77">
        <f>+A4</f>
        <v>2022</v>
      </c>
      <c r="G4" s="33">
        <f>+GETPIVOTDATA("SUBCLASIFICACION",$C$3,"CLASIFICACION","MÉTODO")</f>
        <v>113</v>
      </c>
      <c r="H4" s="60">
        <f>+G4/$G$12</f>
        <v>0.34036144578313254</v>
      </c>
      <c r="I4" s="35">
        <f>+H4</f>
        <v>0.34036144578313254</v>
      </c>
    </row>
    <row r="5" spans="1:29" x14ac:dyDescent="0.25">
      <c r="A5" s="4" t="s">
        <v>1551</v>
      </c>
      <c r="C5" s="134" t="s">
        <v>9</v>
      </c>
      <c r="D5" s="136">
        <v>75</v>
      </c>
      <c r="E5" s="81"/>
      <c r="F5" s="78" t="str">
        <f>+A15</f>
        <v>MEDIO AMBIENTE</v>
      </c>
      <c r="G5" s="33">
        <f>+GETPIVOTDATA("SUBCLASIFICACION",$C$3,"CLASIFICACION","TALENTO HUMANO ")</f>
        <v>75</v>
      </c>
      <c r="H5" s="60">
        <f t="shared" ref="H5:H11" si="0">+G5/$G$12</f>
        <v>0.22590361445783133</v>
      </c>
      <c r="I5" s="35">
        <f t="shared" ref="I5:I11" si="1">+I4+H5</f>
        <v>0.5662650602409639</v>
      </c>
    </row>
    <row r="6" spans="1:29" ht="30" customHeight="1" x14ac:dyDescent="0.25">
      <c r="A6" s="84" t="s">
        <v>32</v>
      </c>
      <c r="B6" s="117">
        <v>1</v>
      </c>
      <c r="C6" s="137" t="s">
        <v>10</v>
      </c>
      <c r="D6" s="136">
        <v>7</v>
      </c>
      <c r="E6" s="83"/>
      <c r="F6" s="79" t="str">
        <f>+C27</f>
        <v xml:space="preserve">PLANIFICACION </v>
      </c>
      <c r="G6" s="33">
        <f>+GETPIVOTDATA("SUBCLASIFICACION",$C$3,"CLASIFICACION","EQUIPO, TECNOLOGÍA E INFRAESTRUCTURA")</f>
        <v>59</v>
      </c>
      <c r="H6" s="60">
        <f t="shared" si="0"/>
        <v>0.17771084337349397</v>
      </c>
      <c r="I6" s="35">
        <f t="shared" si="1"/>
        <v>0.74397590361445787</v>
      </c>
    </row>
    <row r="7" spans="1:29" ht="15" x14ac:dyDescent="0.25">
      <c r="A7" s="4" t="s">
        <v>12</v>
      </c>
      <c r="B7" s="117">
        <v>48</v>
      </c>
      <c r="C7" s="137" t="s">
        <v>41</v>
      </c>
      <c r="D7" s="136">
        <v>14</v>
      </c>
      <c r="E7" s="83"/>
      <c r="F7" s="78" t="str">
        <f>+C36</f>
        <v>PRESUPUESTO</v>
      </c>
      <c r="G7" s="33">
        <f>+GETPIVOTDATA("SUBCLASIFICACION",$C$3,"CLASIFICACION","MANAGEMENT")</f>
        <v>39</v>
      </c>
      <c r="H7" s="60">
        <f t="shared" si="0"/>
        <v>0.11746987951807229</v>
      </c>
      <c r="I7" s="35">
        <f t="shared" si="1"/>
        <v>0.86144578313253017</v>
      </c>
    </row>
    <row r="8" spans="1:29" x14ac:dyDescent="0.25">
      <c r="A8" s="4" t="s">
        <v>104</v>
      </c>
      <c r="B8" s="117">
        <v>2</v>
      </c>
      <c r="C8" s="137" t="s">
        <v>15</v>
      </c>
      <c r="D8" s="136">
        <v>2</v>
      </c>
      <c r="E8" s="81"/>
      <c r="F8" s="78" t="str">
        <f>+C43</f>
        <v>Total general</v>
      </c>
      <c r="G8" s="33">
        <f>+GETPIVOTDATA("SUBCLASIFICACION",$C$3,"CLASIFICACION","MEDICIÓN ")</f>
        <v>23</v>
      </c>
      <c r="H8" s="60">
        <f t="shared" si="0"/>
        <v>6.9277108433734941E-2</v>
      </c>
      <c r="I8" s="35">
        <f t="shared" si="1"/>
        <v>0.93072289156626509</v>
      </c>
    </row>
    <row r="9" spans="1:29" ht="15" x14ac:dyDescent="0.25">
      <c r="A9" s="4" t="s">
        <v>11</v>
      </c>
      <c r="B9" s="117">
        <v>31</v>
      </c>
      <c r="C9" s="137" t="s">
        <v>33</v>
      </c>
      <c r="D9" s="136">
        <v>16</v>
      </c>
      <c r="E9" s="83"/>
      <c r="F9" s="78">
        <f>+C47</f>
        <v>0</v>
      </c>
      <c r="G9" s="33">
        <f>+GETPIVOTDATA("SUBCLASIFICACION",$C$3,"CLASIFICACION","MONEDA")</f>
        <v>17</v>
      </c>
      <c r="H9" s="60">
        <f t="shared" si="0"/>
        <v>5.1204819277108432E-2</v>
      </c>
      <c r="I9" s="35">
        <f t="shared" si="1"/>
        <v>0.98192771084337349</v>
      </c>
    </row>
    <row r="10" spans="1:29" ht="15" x14ac:dyDescent="0.25">
      <c r="A10" s="4" t="s">
        <v>16</v>
      </c>
      <c r="C10" s="137" t="s">
        <v>18</v>
      </c>
      <c r="D10" s="136">
        <v>23</v>
      </c>
      <c r="E10" s="83"/>
      <c r="F10" s="78">
        <f>+C50</f>
        <v>0</v>
      </c>
      <c r="G10" s="33">
        <f>+GETPIVOTDATA("SUBCLASIFICACION",$C$3,"CLASIFICACION","MEDIO AMBIENTE")</f>
        <v>4</v>
      </c>
      <c r="H10" s="60">
        <f t="shared" si="0"/>
        <v>1.2048192771084338E-2</v>
      </c>
      <c r="I10" s="35">
        <f t="shared" si="1"/>
        <v>0.99397590361445787</v>
      </c>
    </row>
    <row r="11" spans="1:29" ht="17.25" thickBot="1" x14ac:dyDescent="0.3">
      <c r="A11" s="84" t="s">
        <v>144</v>
      </c>
      <c r="B11" s="117">
        <v>7</v>
      </c>
      <c r="C11" s="133" t="s">
        <v>26</v>
      </c>
      <c r="D11" s="135">
        <v>5</v>
      </c>
      <c r="E11" s="81"/>
      <c r="F11" s="80">
        <f>+C53</f>
        <v>0</v>
      </c>
      <c r="G11" s="36">
        <f>+GETPIVOTDATA("SUBCLASIFICACION",$C$3,"CLASIFICACION","INSUMOS")</f>
        <v>2</v>
      </c>
      <c r="H11" s="61">
        <f t="shared" si="0"/>
        <v>6.024096385542169E-3</v>
      </c>
      <c r="I11" s="38">
        <f t="shared" si="1"/>
        <v>1</v>
      </c>
    </row>
    <row r="12" spans="1:29" ht="17.25" thickBot="1" x14ac:dyDescent="0.3">
      <c r="A12" s="84" t="s">
        <v>103</v>
      </c>
      <c r="B12" s="117">
        <v>3</v>
      </c>
      <c r="C12" s="133" t="s">
        <v>145</v>
      </c>
      <c r="D12" s="135">
        <v>2</v>
      </c>
      <c r="E12" s="81"/>
      <c r="F12" s="1" t="s">
        <v>1939</v>
      </c>
      <c r="G12" s="43">
        <f>SUM(G4:G11)</f>
        <v>332</v>
      </c>
    </row>
    <row r="13" spans="1:29" ht="15" x14ac:dyDescent="0.25">
      <c r="A13" s="84" t="s">
        <v>17</v>
      </c>
      <c r="B13" s="117">
        <v>12</v>
      </c>
      <c r="C13" s="133" t="s">
        <v>173</v>
      </c>
      <c r="D13" s="135">
        <v>6</v>
      </c>
      <c r="E13" s="83"/>
    </row>
    <row r="14" spans="1:29" ht="15" x14ac:dyDescent="0.25">
      <c r="A14" s="84" t="s">
        <v>106</v>
      </c>
      <c r="B14" s="117">
        <v>1</v>
      </c>
      <c r="C14" s="134" t="s">
        <v>12</v>
      </c>
      <c r="D14" s="136">
        <v>59</v>
      </c>
      <c r="E14" s="83"/>
    </row>
    <row r="15" spans="1:29" x14ac:dyDescent="0.25">
      <c r="A15" s="4" t="s">
        <v>59</v>
      </c>
      <c r="C15" s="137" t="s">
        <v>40</v>
      </c>
      <c r="D15" s="136">
        <v>7</v>
      </c>
      <c r="E15" s="81"/>
    </row>
    <row r="16" spans="1:29" x14ac:dyDescent="0.25">
      <c r="A16" s="84" t="s">
        <v>293</v>
      </c>
      <c r="B16" s="117">
        <v>1</v>
      </c>
      <c r="C16" s="137" t="s">
        <v>13</v>
      </c>
      <c r="D16" s="136">
        <v>17</v>
      </c>
      <c r="E16" s="81"/>
    </row>
    <row r="17" spans="1:5" ht="15" x14ac:dyDescent="0.25">
      <c r="A17" s="84" t="s">
        <v>60</v>
      </c>
      <c r="B17" s="117">
        <v>2</v>
      </c>
      <c r="C17" s="137" t="s">
        <v>169</v>
      </c>
      <c r="D17" s="136">
        <v>2</v>
      </c>
      <c r="E17" s="83"/>
    </row>
    <row r="18" spans="1:5" x14ac:dyDescent="0.25">
      <c r="A18" s="4" t="s">
        <v>1837</v>
      </c>
      <c r="C18" s="137" t="s">
        <v>35</v>
      </c>
      <c r="D18" s="136">
        <v>5</v>
      </c>
      <c r="E18" s="81"/>
    </row>
    <row r="19" spans="1:5" x14ac:dyDescent="0.25">
      <c r="A19" s="84" t="s">
        <v>20</v>
      </c>
      <c r="B19" s="117">
        <v>15</v>
      </c>
      <c r="C19" s="137" t="s">
        <v>93</v>
      </c>
      <c r="D19" s="136">
        <v>4</v>
      </c>
      <c r="E19" s="81"/>
    </row>
    <row r="20" spans="1:5" ht="15" x14ac:dyDescent="0.25">
      <c r="A20" s="84" t="s">
        <v>52</v>
      </c>
      <c r="B20" s="117">
        <v>5</v>
      </c>
      <c r="C20" s="137" t="s">
        <v>211</v>
      </c>
      <c r="D20" s="136">
        <v>1</v>
      </c>
      <c r="E20" s="83"/>
    </row>
    <row r="21" spans="1:5" x14ac:dyDescent="0.25">
      <c r="A21" s="84" t="s">
        <v>14</v>
      </c>
      <c r="B21" s="117">
        <v>8</v>
      </c>
      <c r="C21" s="133" t="s">
        <v>32</v>
      </c>
      <c r="D21" s="135">
        <v>18</v>
      </c>
      <c r="E21" s="81"/>
    </row>
    <row r="22" spans="1:5" ht="15" x14ac:dyDescent="0.25">
      <c r="A22" s="84" t="s">
        <v>138</v>
      </c>
      <c r="B22" s="117">
        <v>13</v>
      </c>
      <c r="C22" s="133" t="s">
        <v>1573</v>
      </c>
      <c r="D22" s="135">
        <v>5</v>
      </c>
      <c r="E22" s="83"/>
    </row>
    <row r="23" spans="1:5" x14ac:dyDescent="0.25">
      <c r="A23" s="84" t="s">
        <v>62</v>
      </c>
      <c r="B23" s="117">
        <v>5</v>
      </c>
      <c r="C23" s="134" t="s">
        <v>11</v>
      </c>
      <c r="D23" s="136">
        <v>39</v>
      </c>
      <c r="E23" s="81"/>
    </row>
    <row r="24" spans="1:5" x14ac:dyDescent="0.25">
      <c r="A24" s="84" t="s">
        <v>71</v>
      </c>
      <c r="B24" s="117">
        <v>3</v>
      </c>
      <c r="C24" s="137" t="s">
        <v>1639</v>
      </c>
      <c r="D24" s="136">
        <v>12</v>
      </c>
      <c r="E24" s="81"/>
    </row>
    <row r="25" spans="1:5" x14ac:dyDescent="0.25">
      <c r="A25" s="84" t="s">
        <v>56</v>
      </c>
      <c r="B25" s="117">
        <v>11</v>
      </c>
      <c r="C25" s="137" t="s">
        <v>1656</v>
      </c>
      <c r="D25" s="136">
        <v>1</v>
      </c>
      <c r="E25" s="81"/>
    </row>
    <row r="26" spans="1:5" x14ac:dyDescent="0.25">
      <c r="A26" s="84" t="s">
        <v>70</v>
      </c>
      <c r="B26" s="117">
        <v>11</v>
      </c>
      <c r="C26" s="137" t="s">
        <v>45</v>
      </c>
      <c r="D26" s="136">
        <v>1</v>
      </c>
      <c r="E26" s="81"/>
    </row>
    <row r="27" spans="1:5" x14ac:dyDescent="0.25">
      <c r="A27" s="84" t="s">
        <v>107</v>
      </c>
      <c r="B27" s="117">
        <v>5</v>
      </c>
      <c r="C27" s="137" t="s">
        <v>1841</v>
      </c>
      <c r="D27" s="136">
        <v>20</v>
      </c>
      <c r="E27" s="81"/>
    </row>
    <row r="28" spans="1:5" x14ac:dyDescent="0.25">
      <c r="A28" s="84" t="s">
        <v>103</v>
      </c>
      <c r="B28" s="117">
        <v>1</v>
      </c>
      <c r="C28" s="137" t="s">
        <v>172</v>
      </c>
      <c r="D28" s="136">
        <v>3</v>
      </c>
      <c r="E28" s="81"/>
    </row>
    <row r="29" spans="1:5" x14ac:dyDescent="0.25">
      <c r="A29" s="84" t="s">
        <v>1846</v>
      </c>
      <c r="B29" s="117">
        <v>4</v>
      </c>
      <c r="C29" s="133" t="s">
        <v>142</v>
      </c>
      <c r="D29" s="135">
        <v>2</v>
      </c>
      <c r="E29" s="81"/>
    </row>
    <row r="30" spans="1:5" x14ac:dyDescent="0.25">
      <c r="A30" s="84" t="s">
        <v>68</v>
      </c>
      <c r="B30" s="117">
        <v>1</v>
      </c>
      <c r="C30" s="134" t="s">
        <v>16</v>
      </c>
      <c r="D30" s="135">
        <v>23</v>
      </c>
      <c r="E30" s="81"/>
    </row>
    <row r="31" spans="1:5" ht="15" x14ac:dyDescent="0.25">
      <c r="A31" s="84" t="s">
        <v>22</v>
      </c>
      <c r="B31" s="117">
        <v>26</v>
      </c>
      <c r="C31" s="133" t="s">
        <v>144</v>
      </c>
      <c r="D31" s="135">
        <v>6</v>
      </c>
      <c r="E31" s="83"/>
    </row>
    <row r="32" spans="1:5" x14ac:dyDescent="0.25">
      <c r="A32" s="84" t="s">
        <v>487</v>
      </c>
      <c r="B32" s="117">
        <v>1</v>
      </c>
      <c r="C32" s="133" t="s">
        <v>17</v>
      </c>
      <c r="D32" s="135">
        <v>15</v>
      </c>
      <c r="E32" s="81"/>
    </row>
    <row r="33" spans="1:5" x14ac:dyDescent="0.25">
      <c r="A33" s="4" t="s">
        <v>42</v>
      </c>
      <c r="C33" s="133" t="s">
        <v>103</v>
      </c>
      <c r="D33" s="135">
        <v>2</v>
      </c>
      <c r="E33" s="81"/>
    </row>
    <row r="34" spans="1:5" x14ac:dyDescent="0.25">
      <c r="A34" s="84" t="s">
        <v>143</v>
      </c>
      <c r="B34" s="117">
        <v>3</v>
      </c>
      <c r="C34" s="134" t="s">
        <v>42</v>
      </c>
      <c r="D34" s="136">
        <v>17</v>
      </c>
      <c r="E34" s="81"/>
    </row>
    <row r="35" spans="1:5" ht="15" x14ac:dyDescent="0.25">
      <c r="A35" s="84" t="s">
        <v>43</v>
      </c>
      <c r="B35" s="117">
        <v>14</v>
      </c>
      <c r="C35" s="137" t="s">
        <v>143</v>
      </c>
      <c r="D35" s="136">
        <v>2</v>
      </c>
      <c r="E35" s="83"/>
    </row>
    <row r="36" spans="1:5" x14ac:dyDescent="0.25">
      <c r="A36" s="4" t="s">
        <v>9</v>
      </c>
      <c r="C36" s="137" t="s">
        <v>43</v>
      </c>
      <c r="D36" s="136">
        <v>15</v>
      </c>
      <c r="E36" s="81"/>
    </row>
    <row r="37" spans="1:5" x14ac:dyDescent="0.25">
      <c r="A37" s="84" t="s">
        <v>145</v>
      </c>
      <c r="B37" s="117">
        <v>1</v>
      </c>
      <c r="C37" s="134" t="s">
        <v>59</v>
      </c>
      <c r="D37" s="136">
        <v>4</v>
      </c>
      <c r="E37" s="81"/>
    </row>
    <row r="38" spans="1:5" x14ac:dyDescent="0.25">
      <c r="A38" s="84" t="s">
        <v>10</v>
      </c>
      <c r="B38" s="117">
        <v>5</v>
      </c>
      <c r="C38" s="137" t="s">
        <v>60</v>
      </c>
      <c r="D38" s="136">
        <v>4</v>
      </c>
      <c r="E38" s="81"/>
    </row>
    <row r="39" spans="1:5" x14ac:dyDescent="0.25">
      <c r="A39" s="84" t="s">
        <v>41</v>
      </c>
      <c r="B39" s="117">
        <v>5</v>
      </c>
      <c r="C39" s="134" t="s">
        <v>104</v>
      </c>
      <c r="D39" s="136">
        <v>2</v>
      </c>
      <c r="E39" s="81"/>
    </row>
    <row r="40" spans="1:5" ht="15" x14ac:dyDescent="0.25">
      <c r="A40" s="84" t="s">
        <v>1910</v>
      </c>
      <c r="B40" s="117">
        <v>14</v>
      </c>
      <c r="C40" s="137" t="s">
        <v>105</v>
      </c>
      <c r="D40" s="136">
        <v>2</v>
      </c>
      <c r="E40" s="83"/>
    </row>
    <row r="41" spans="1:5" ht="15" x14ac:dyDescent="0.25">
      <c r="A41" s="84" t="s">
        <v>173</v>
      </c>
      <c r="B41" s="117">
        <v>4</v>
      </c>
      <c r="C41" s="138" t="s">
        <v>441</v>
      </c>
      <c r="D41" s="135">
        <v>1</v>
      </c>
      <c r="E41" s="83"/>
    </row>
    <row r="42" spans="1:5" x14ac:dyDescent="0.25">
      <c r="A42" s="84" t="s">
        <v>26</v>
      </c>
      <c r="B42" s="117">
        <v>7</v>
      </c>
      <c r="C42" s="84" t="s">
        <v>102</v>
      </c>
      <c r="D42" s="117">
        <v>1</v>
      </c>
      <c r="E42" s="81"/>
    </row>
    <row r="43" spans="1:5" x14ac:dyDescent="0.25">
      <c r="A43" s="84" t="s">
        <v>15</v>
      </c>
      <c r="B43" s="117">
        <v>1</v>
      </c>
      <c r="C43" s="3" t="s">
        <v>1940</v>
      </c>
      <c r="D43" s="117">
        <v>332</v>
      </c>
      <c r="E43" s="81"/>
    </row>
    <row r="44" spans="1:5" x14ac:dyDescent="0.25">
      <c r="A44" s="84" t="s">
        <v>33</v>
      </c>
      <c r="B44" s="117">
        <v>15</v>
      </c>
      <c r="C44"/>
      <c r="D44"/>
      <c r="E44" s="82"/>
    </row>
    <row r="45" spans="1:5" x14ac:dyDescent="0.25">
      <c r="A45" s="84" t="s">
        <v>18</v>
      </c>
      <c r="B45" s="117">
        <v>22</v>
      </c>
      <c r="C45"/>
      <c r="D45"/>
      <c r="E45" s="81"/>
    </row>
    <row r="46" spans="1:5" x14ac:dyDescent="0.25">
      <c r="A46" s="148" t="s">
        <v>1940</v>
      </c>
      <c r="B46" s="117">
        <v>308</v>
      </c>
      <c r="C46"/>
      <c r="D46"/>
      <c r="E46" s="81"/>
    </row>
    <row r="47" spans="1:5" x14ac:dyDescent="0.25">
      <c r="A47"/>
      <c r="B47"/>
      <c r="C47"/>
      <c r="D47"/>
      <c r="E47" s="81"/>
    </row>
    <row r="48" spans="1:5" x14ac:dyDescent="0.25">
      <c r="A48"/>
      <c r="B48"/>
      <c r="C48"/>
      <c r="D48"/>
      <c r="E48" s="81"/>
    </row>
    <row r="49" spans="1:5" x14ac:dyDescent="0.25">
      <c r="A49"/>
      <c r="B49"/>
      <c r="C49"/>
      <c r="D49"/>
      <c r="E49" s="81"/>
    </row>
    <row r="50" spans="1:5" x14ac:dyDescent="0.25">
      <c r="A50"/>
      <c r="B50"/>
      <c r="C50"/>
      <c r="D50"/>
      <c r="E50" s="81"/>
    </row>
    <row r="51" spans="1:5" x14ac:dyDescent="0.25">
      <c r="A51"/>
      <c r="B51"/>
      <c r="C51"/>
      <c r="D51"/>
      <c r="E51" s="81"/>
    </row>
    <row r="52" spans="1:5" x14ac:dyDescent="0.25">
      <c r="A52"/>
      <c r="B52"/>
      <c r="C52"/>
      <c r="D52"/>
    </row>
    <row r="53" spans="1:5" x14ac:dyDescent="0.25">
      <c r="A53"/>
      <c r="B53"/>
      <c r="C53"/>
      <c r="D53"/>
    </row>
    <row r="54" spans="1:5" x14ac:dyDescent="0.25">
      <c r="A54"/>
      <c r="B54"/>
      <c r="C54"/>
      <c r="D54"/>
    </row>
    <row r="55" spans="1:5" x14ac:dyDescent="0.25">
      <c r="A55"/>
      <c r="B55"/>
      <c r="C55"/>
      <c r="D55"/>
    </row>
    <row r="56" spans="1:5" x14ac:dyDescent="0.25">
      <c r="A56"/>
      <c r="B56"/>
      <c r="C56"/>
      <c r="D56"/>
    </row>
    <row r="57" spans="1:5" x14ac:dyDescent="0.25">
      <c r="A57"/>
      <c r="B57"/>
      <c r="C57"/>
      <c r="D57"/>
    </row>
    <row r="58" spans="1:5" x14ac:dyDescent="0.25">
      <c r="A58"/>
      <c r="B58"/>
      <c r="C58"/>
      <c r="D58"/>
    </row>
    <row r="59" spans="1:5" x14ac:dyDescent="0.25">
      <c r="A59"/>
      <c r="B59"/>
      <c r="C59"/>
      <c r="D59"/>
    </row>
    <row r="60" spans="1:5" x14ac:dyDescent="0.25">
      <c r="A60"/>
      <c r="B60"/>
      <c r="C60"/>
      <c r="D60"/>
    </row>
    <row r="61" spans="1:5" x14ac:dyDescent="0.25">
      <c r="A61"/>
      <c r="B61"/>
      <c r="C61"/>
      <c r="D61"/>
    </row>
    <row r="62" spans="1:5" x14ac:dyDescent="0.25">
      <c r="A62"/>
      <c r="B62"/>
      <c r="C62"/>
      <c r="D62"/>
    </row>
    <row r="63" spans="1:5" x14ac:dyDescent="0.25">
      <c r="A63"/>
      <c r="B63"/>
      <c r="C63"/>
      <c r="D63"/>
    </row>
    <row r="64" spans="1:5" x14ac:dyDescent="0.25">
      <c r="A64"/>
      <c r="B64"/>
      <c r="C64"/>
      <c r="D64"/>
    </row>
    <row r="65" spans="1:4" x14ac:dyDescent="0.25">
      <c r="A65"/>
      <c r="B65"/>
      <c r="C65"/>
      <c r="D65"/>
    </row>
    <row r="66" spans="1:4" x14ac:dyDescent="0.25">
      <c r="A66"/>
      <c r="B66"/>
      <c r="C66"/>
      <c r="D66"/>
    </row>
    <row r="67" spans="1:4" x14ac:dyDescent="0.25">
      <c r="A67"/>
      <c r="B67"/>
      <c r="C67"/>
      <c r="D67"/>
    </row>
    <row r="68" spans="1:4" x14ac:dyDescent="0.25">
      <c r="A68"/>
      <c r="B68"/>
      <c r="C68"/>
      <c r="D68"/>
    </row>
    <row r="69" spans="1:4" x14ac:dyDescent="0.25">
      <c r="A69"/>
      <c r="B69"/>
      <c r="C69"/>
      <c r="D69"/>
    </row>
    <row r="70" spans="1:4" x14ac:dyDescent="0.25">
      <c r="A70"/>
      <c r="B70"/>
      <c r="C70"/>
      <c r="D70"/>
    </row>
    <row r="71" spans="1:4" x14ac:dyDescent="0.25">
      <c r="A71"/>
      <c r="B71"/>
      <c r="C71"/>
      <c r="D71"/>
    </row>
    <row r="72" spans="1:4" x14ac:dyDescent="0.25">
      <c r="A72"/>
      <c r="B72"/>
      <c r="C72"/>
      <c r="D72"/>
    </row>
    <row r="73" spans="1:4" x14ac:dyDescent="0.25">
      <c r="A73"/>
      <c r="B73"/>
      <c r="C73"/>
      <c r="D73"/>
    </row>
    <row r="74" spans="1:4" x14ac:dyDescent="0.25">
      <c r="A74"/>
      <c r="B74"/>
      <c r="C74"/>
      <c r="D74"/>
    </row>
    <row r="75" spans="1:4" x14ac:dyDescent="0.25">
      <c r="A75"/>
      <c r="B75"/>
      <c r="C75"/>
      <c r="D75"/>
    </row>
    <row r="76" spans="1:4" x14ac:dyDescent="0.25">
      <c r="A76"/>
      <c r="B76"/>
      <c r="C76"/>
      <c r="D76"/>
    </row>
    <row r="77" spans="1:4" x14ac:dyDescent="0.25">
      <c r="A77"/>
      <c r="B77"/>
      <c r="C77"/>
      <c r="D77"/>
    </row>
    <row r="78" spans="1:4" x14ac:dyDescent="0.25">
      <c r="A78"/>
      <c r="B78"/>
      <c r="C78"/>
      <c r="D78"/>
    </row>
    <row r="79" spans="1:4" x14ac:dyDescent="0.25">
      <c r="A79"/>
      <c r="B79"/>
      <c r="C79"/>
      <c r="D79"/>
    </row>
    <row r="80" spans="1:4" x14ac:dyDescent="0.25">
      <c r="A80"/>
      <c r="B80"/>
      <c r="C80"/>
      <c r="D80"/>
    </row>
    <row r="81" spans="1:4" x14ac:dyDescent="0.25">
      <c r="A81"/>
      <c r="B81"/>
      <c r="C81"/>
      <c r="D81"/>
    </row>
    <row r="82" spans="1:4" x14ac:dyDescent="0.25">
      <c r="A82"/>
      <c r="B82"/>
      <c r="C82"/>
      <c r="D82"/>
    </row>
    <row r="83" spans="1:4" x14ac:dyDescent="0.25">
      <c r="A83"/>
      <c r="B83"/>
      <c r="C83"/>
      <c r="D83"/>
    </row>
    <row r="84" spans="1:4" x14ac:dyDescent="0.25">
      <c r="A84"/>
      <c r="B84"/>
      <c r="C84"/>
      <c r="D84"/>
    </row>
    <row r="85" spans="1:4" x14ac:dyDescent="0.25">
      <c r="A85"/>
      <c r="B85"/>
      <c r="C85"/>
      <c r="D85"/>
    </row>
    <row r="86" spans="1:4" x14ac:dyDescent="0.25">
      <c r="A86"/>
      <c r="B86"/>
      <c r="C86"/>
      <c r="D86"/>
    </row>
    <row r="87" spans="1:4" x14ac:dyDescent="0.25">
      <c r="A87"/>
      <c r="B87"/>
      <c r="C87"/>
      <c r="D87"/>
    </row>
    <row r="88" spans="1:4" x14ac:dyDescent="0.25">
      <c r="A88"/>
      <c r="B88"/>
      <c r="C88"/>
      <c r="D88"/>
    </row>
    <row r="89" spans="1:4" x14ac:dyDescent="0.25">
      <c r="A89"/>
      <c r="B89"/>
      <c r="C89"/>
      <c r="D89"/>
    </row>
    <row r="90" spans="1:4" x14ac:dyDescent="0.25">
      <c r="A90"/>
      <c r="B90"/>
      <c r="C90"/>
      <c r="D90"/>
    </row>
    <row r="91" spans="1:4" x14ac:dyDescent="0.25">
      <c r="A91"/>
      <c r="B91"/>
      <c r="C91"/>
      <c r="D91"/>
    </row>
    <row r="92" spans="1:4" x14ac:dyDescent="0.25">
      <c r="A92"/>
      <c r="B92"/>
      <c r="C92"/>
      <c r="D92"/>
    </row>
    <row r="93" spans="1:4" x14ac:dyDescent="0.25">
      <c r="A93"/>
      <c r="B93"/>
      <c r="C93"/>
      <c r="D93"/>
    </row>
    <row r="94" spans="1:4" x14ac:dyDescent="0.25">
      <c r="A94"/>
      <c r="B94"/>
      <c r="C94"/>
      <c r="D94"/>
    </row>
    <row r="95" spans="1:4" x14ac:dyDescent="0.25">
      <c r="A95"/>
      <c r="B95"/>
      <c r="C95"/>
      <c r="D95"/>
    </row>
    <row r="96" spans="1:4" x14ac:dyDescent="0.25">
      <c r="A96"/>
      <c r="B96"/>
      <c r="C96"/>
      <c r="D96"/>
    </row>
    <row r="97" spans="1:4" x14ac:dyDescent="0.25">
      <c r="A97"/>
      <c r="B97"/>
      <c r="C97"/>
      <c r="D97"/>
    </row>
    <row r="98" spans="1:4" x14ac:dyDescent="0.25">
      <c r="A98"/>
      <c r="B98"/>
      <c r="C98"/>
      <c r="D98"/>
    </row>
    <row r="99" spans="1:4" x14ac:dyDescent="0.25">
      <c r="A99"/>
      <c r="B99"/>
      <c r="C99"/>
      <c r="D99"/>
    </row>
    <row r="100" spans="1:4" x14ac:dyDescent="0.25">
      <c r="A100"/>
      <c r="B100"/>
      <c r="C100"/>
      <c r="D100"/>
    </row>
    <row r="101" spans="1:4" x14ac:dyDescent="0.25">
      <c r="A101"/>
      <c r="B101"/>
      <c r="C101"/>
      <c r="D101"/>
    </row>
    <row r="102" spans="1:4" x14ac:dyDescent="0.25">
      <c r="A102"/>
      <c r="B102"/>
      <c r="C102"/>
      <c r="D102"/>
    </row>
    <row r="103" spans="1:4" x14ac:dyDescent="0.25">
      <c r="A103"/>
      <c r="B103"/>
      <c r="C103"/>
      <c r="D103"/>
    </row>
    <row r="104" spans="1:4" x14ac:dyDescent="0.25">
      <c r="A104"/>
      <c r="B104"/>
      <c r="C104"/>
      <c r="D104"/>
    </row>
    <row r="105" spans="1:4" x14ac:dyDescent="0.25">
      <c r="A105"/>
      <c r="B105"/>
      <c r="C105"/>
      <c r="D105"/>
    </row>
    <row r="106" spans="1:4" x14ac:dyDescent="0.25">
      <c r="A106"/>
      <c r="B106"/>
      <c r="C106"/>
      <c r="D106"/>
    </row>
    <row r="107" spans="1:4" x14ac:dyDescent="0.25">
      <c r="A107"/>
      <c r="B107"/>
      <c r="C107"/>
      <c r="D107"/>
    </row>
    <row r="108" spans="1:4" x14ac:dyDescent="0.25">
      <c r="A108"/>
      <c r="B108"/>
      <c r="C108"/>
      <c r="D108"/>
    </row>
    <row r="109" spans="1:4" x14ac:dyDescent="0.25">
      <c r="A109"/>
      <c r="B109"/>
      <c r="C109"/>
      <c r="D109"/>
    </row>
    <row r="110" spans="1:4" x14ac:dyDescent="0.25">
      <c r="A110"/>
      <c r="B110"/>
      <c r="C110"/>
      <c r="D110"/>
    </row>
    <row r="111" spans="1:4" x14ac:dyDescent="0.25">
      <c r="A111"/>
      <c r="B111"/>
      <c r="C111"/>
      <c r="D111"/>
    </row>
    <row r="112" spans="1:4" x14ac:dyDescent="0.25">
      <c r="A112"/>
      <c r="B112"/>
      <c r="C112"/>
      <c r="D112"/>
    </row>
    <row r="113" spans="1:4" x14ac:dyDescent="0.25">
      <c r="A113"/>
      <c r="B113"/>
      <c r="C113"/>
      <c r="D113"/>
    </row>
    <row r="114" spans="1:4" x14ac:dyDescent="0.25">
      <c r="A114"/>
      <c r="B114"/>
      <c r="C114"/>
      <c r="D114"/>
    </row>
    <row r="115" spans="1:4" x14ac:dyDescent="0.25">
      <c r="A115"/>
      <c r="B115"/>
      <c r="C115"/>
      <c r="D115"/>
    </row>
    <row r="116" spans="1:4" x14ac:dyDescent="0.25">
      <c r="A116"/>
      <c r="B116"/>
      <c r="C116"/>
      <c r="D116"/>
    </row>
    <row r="117" spans="1:4" x14ac:dyDescent="0.25">
      <c r="A117"/>
      <c r="B117"/>
      <c r="C117"/>
      <c r="D117"/>
    </row>
    <row r="118" spans="1:4" x14ac:dyDescent="0.25">
      <c r="A118"/>
      <c r="B118"/>
      <c r="C118"/>
      <c r="D118"/>
    </row>
    <row r="119" spans="1:4" x14ac:dyDescent="0.25">
      <c r="A119"/>
      <c r="B119"/>
      <c r="C119"/>
      <c r="D119"/>
    </row>
    <row r="120" spans="1:4" x14ac:dyDescent="0.25">
      <c r="A120"/>
      <c r="B120"/>
      <c r="C120"/>
      <c r="D120"/>
    </row>
    <row r="121" spans="1:4" x14ac:dyDescent="0.25">
      <c r="A121"/>
      <c r="B121"/>
      <c r="C121"/>
      <c r="D121"/>
    </row>
    <row r="122" spans="1:4" x14ac:dyDescent="0.25">
      <c r="A122"/>
      <c r="B122"/>
      <c r="C122"/>
      <c r="D122"/>
    </row>
    <row r="123" spans="1:4" x14ac:dyDescent="0.25">
      <c r="A123"/>
      <c r="B123"/>
      <c r="C123"/>
      <c r="D123"/>
    </row>
    <row r="124" spans="1:4" x14ac:dyDescent="0.25">
      <c r="A124"/>
      <c r="B124"/>
      <c r="C124"/>
      <c r="D124"/>
    </row>
    <row r="125" spans="1:4" x14ac:dyDescent="0.25">
      <c r="A125"/>
      <c r="B125"/>
      <c r="C125"/>
      <c r="D125"/>
    </row>
    <row r="126" spans="1:4" x14ac:dyDescent="0.25">
      <c r="A126"/>
      <c r="B126"/>
      <c r="C126"/>
      <c r="D126"/>
    </row>
    <row r="127" spans="1:4" x14ac:dyDescent="0.25">
      <c r="A127"/>
      <c r="B127"/>
      <c r="C127"/>
      <c r="D127"/>
    </row>
    <row r="128" spans="1:4" x14ac:dyDescent="0.25">
      <c r="A128"/>
      <c r="B128"/>
      <c r="C128"/>
      <c r="D128"/>
    </row>
    <row r="129" spans="1:4" x14ac:dyDescent="0.25">
      <c r="A129"/>
      <c r="B129"/>
      <c r="C129"/>
      <c r="D129"/>
    </row>
    <row r="130" spans="1:4" x14ac:dyDescent="0.25">
      <c r="A130"/>
      <c r="B130"/>
      <c r="C130"/>
      <c r="D130"/>
    </row>
    <row r="131" spans="1:4" x14ac:dyDescent="0.25">
      <c r="A131"/>
      <c r="B131"/>
      <c r="C131"/>
      <c r="D131"/>
    </row>
    <row r="132" spans="1:4" x14ac:dyDescent="0.25">
      <c r="A132"/>
      <c r="B132"/>
      <c r="C132"/>
      <c r="D132"/>
    </row>
    <row r="133" spans="1:4" x14ac:dyDescent="0.25">
      <c r="A133"/>
      <c r="B133"/>
      <c r="C133"/>
      <c r="D133"/>
    </row>
    <row r="134" spans="1:4" x14ac:dyDescent="0.25">
      <c r="A134"/>
      <c r="B134"/>
      <c r="C134"/>
      <c r="D134"/>
    </row>
    <row r="135" spans="1:4" x14ac:dyDescent="0.25">
      <c r="A135"/>
      <c r="B135"/>
      <c r="C135"/>
      <c r="D135"/>
    </row>
    <row r="136" spans="1:4" x14ac:dyDescent="0.25">
      <c r="A136"/>
      <c r="B136"/>
      <c r="C136"/>
      <c r="D136"/>
    </row>
    <row r="137" spans="1:4" x14ac:dyDescent="0.25">
      <c r="A137"/>
      <c r="B137"/>
      <c r="C137"/>
      <c r="D137"/>
    </row>
    <row r="138" spans="1:4" x14ac:dyDescent="0.25">
      <c r="A138"/>
      <c r="B138"/>
      <c r="C138"/>
      <c r="D138"/>
    </row>
    <row r="139" spans="1:4" x14ac:dyDescent="0.25">
      <c r="A139"/>
      <c r="B139"/>
      <c r="C139"/>
      <c r="D139"/>
    </row>
    <row r="140" spans="1:4" x14ac:dyDescent="0.25">
      <c r="A140"/>
      <c r="B140"/>
      <c r="C140"/>
      <c r="D140"/>
    </row>
    <row r="141" spans="1:4" x14ac:dyDescent="0.25">
      <c r="A141"/>
      <c r="B141"/>
      <c r="C141"/>
      <c r="D141"/>
    </row>
    <row r="142" spans="1:4" x14ac:dyDescent="0.25">
      <c r="A142"/>
      <c r="B142"/>
      <c r="C142"/>
      <c r="D142"/>
    </row>
    <row r="143" spans="1:4" x14ac:dyDescent="0.25">
      <c r="A143"/>
      <c r="B143"/>
      <c r="C143"/>
      <c r="D143"/>
    </row>
    <row r="144" spans="1:4" x14ac:dyDescent="0.25">
      <c r="A144"/>
      <c r="B144"/>
      <c r="C144"/>
      <c r="D144"/>
    </row>
    <row r="145" spans="1:4" x14ac:dyDescent="0.25">
      <c r="A145"/>
      <c r="B145"/>
      <c r="C145"/>
      <c r="D145"/>
    </row>
    <row r="146" spans="1:4" x14ac:dyDescent="0.25">
      <c r="A146"/>
      <c r="B146"/>
      <c r="C146"/>
      <c r="D146"/>
    </row>
    <row r="147" spans="1:4" x14ac:dyDescent="0.25">
      <c r="A147"/>
      <c r="B147"/>
      <c r="C147"/>
      <c r="D147"/>
    </row>
    <row r="148" spans="1:4" x14ac:dyDescent="0.25">
      <c r="A148"/>
      <c r="B148"/>
      <c r="C148"/>
      <c r="D148"/>
    </row>
    <row r="149" spans="1:4" x14ac:dyDescent="0.25">
      <c r="A149"/>
      <c r="B149"/>
      <c r="C149"/>
      <c r="D149"/>
    </row>
    <row r="150" spans="1:4" x14ac:dyDescent="0.25">
      <c r="A150"/>
      <c r="B150"/>
      <c r="C150"/>
      <c r="D150"/>
    </row>
    <row r="151" spans="1:4" x14ac:dyDescent="0.25">
      <c r="A151"/>
      <c r="B151"/>
      <c r="C151"/>
      <c r="D151"/>
    </row>
    <row r="152" spans="1:4" x14ac:dyDescent="0.25">
      <c r="A152"/>
      <c r="B152"/>
      <c r="C152"/>
      <c r="D152"/>
    </row>
    <row r="153" spans="1:4" x14ac:dyDescent="0.25">
      <c r="A153"/>
      <c r="B153"/>
      <c r="C153"/>
      <c r="D153"/>
    </row>
    <row r="154" spans="1:4" x14ac:dyDescent="0.25">
      <c r="A154"/>
      <c r="B154"/>
      <c r="C154"/>
      <c r="D154"/>
    </row>
    <row r="155" spans="1:4" x14ac:dyDescent="0.25">
      <c r="A155"/>
      <c r="B155"/>
      <c r="C155"/>
      <c r="D155"/>
    </row>
    <row r="156" spans="1:4" x14ac:dyDescent="0.25">
      <c r="A156"/>
      <c r="B156"/>
      <c r="C156"/>
      <c r="D156"/>
    </row>
    <row r="157" spans="1:4" x14ac:dyDescent="0.25">
      <c r="A157"/>
      <c r="B157"/>
      <c r="C157"/>
      <c r="D157"/>
    </row>
    <row r="158" spans="1:4" x14ac:dyDescent="0.25">
      <c r="A158"/>
      <c r="B158"/>
      <c r="C158"/>
      <c r="D158"/>
    </row>
    <row r="159" spans="1:4" x14ac:dyDescent="0.25">
      <c r="A159"/>
      <c r="B159"/>
      <c r="C159"/>
      <c r="D159"/>
    </row>
    <row r="160" spans="1:4" x14ac:dyDescent="0.25">
      <c r="A160"/>
      <c r="B160"/>
      <c r="C160"/>
      <c r="D160"/>
    </row>
    <row r="161" spans="1:4" x14ac:dyDescent="0.25">
      <c r="A161"/>
      <c r="B161"/>
      <c r="C161"/>
      <c r="D161"/>
    </row>
    <row r="162" spans="1:4" x14ac:dyDescent="0.25">
      <c r="A162"/>
      <c r="B162"/>
      <c r="C162"/>
      <c r="D162"/>
    </row>
    <row r="163" spans="1:4" x14ac:dyDescent="0.25">
      <c r="A163"/>
      <c r="B163"/>
      <c r="C163"/>
      <c r="D163"/>
    </row>
    <row r="164" spans="1:4" x14ac:dyDescent="0.25">
      <c r="A164"/>
      <c r="B164"/>
      <c r="C164"/>
      <c r="D164"/>
    </row>
    <row r="165" spans="1:4" x14ac:dyDescent="0.25">
      <c r="A165"/>
      <c r="B165"/>
      <c r="C165"/>
      <c r="D165"/>
    </row>
    <row r="166" spans="1:4" x14ac:dyDescent="0.25">
      <c r="A166"/>
      <c r="B166"/>
      <c r="C166"/>
      <c r="D166"/>
    </row>
    <row r="167" spans="1:4" x14ac:dyDescent="0.25">
      <c r="A167"/>
      <c r="B167"/>
      <c r="C167"/>
      <c r="D167"/>
    </row>
    <row r="168" spans="1:4" x14ac:dyDescent="0.25">
      <c r="A168"/>
      <c r="B168"/>
      <c r="C168"/>
      <c r="D168"/>
    </row>
    <row r="169" spans="1:4" x14ac:dyDescent="0.25">
      <c r="A169"/>
      <c r="B169"/>
      <c r="C169"/>
      <c r="D169"/>
    </row>
    <row r="170" spans="1:4" x14ac:dyDescent="0.25">
      <c r="A170"/>
      <c r="B170"/>
      <c r="C170"/>
      <c r="D170"/>
    </row>
    <row r="171" spans="1:4" x14ac:dyDescent="0.25">
      <c r="A171"/>
      <c r="B171"/>
      <c r="C171"/>
      <c r="D171"/>
    </row>
    <row r="172" spans="1:4" x14ac:dyDescent="0.25">
      <c r="A172"/>
      <c r="B172"/>
      <c r="C172"/>
      <c r="D172"/>
    </row>
    <row r="173" spans="1:4" x14ac:dyDescent="0.25">
      <c r="A173"/>
      <c r="B173"/>
      <c r="C173"/>
      <c r="D173"/>
    </row>
    <row r="174" spans="1:4" x14ac:dyDescent="0.25">
      <c r="A174"/>
      <c r="B174"/>
      <c r="C174"/>
      <c r="D174"/>
    </row>
    <row r="175" spans="1:4" x14ac:dyDescent="0.25">
      <c r="A175"/>
      <c r="B175"/>
      <c r="C175"/>
      <c r="D175"/>
    </row>
    <row r="176" spans="1:4" x14ac:dyDescent="0.25">
      <c r="A176"/>
      <c r="B176"/>
      <c r="C176"/>
      <c r="D176"/>
    </row>
    <row r="177" spans="1:4" x14ac:dyDescent="0.25">
      <c r="A177"/>
      <c r="B177"/>
      <c r="C177"/>
      <c r="D177"/>
    </row>
    <row r="178" spans="1:4" x14ac:dyDescent="0.25">
      <c r="A178"/>
      <c r="B178"/>
      <c r="C178"/>
      <c r="D178"/>
    </row>
    <row r="179" spans="1:4" x14ac:dyDescent="0.25">
      <c r="A179"/>
      <c r="B179"/>
      <c r="C179"/>
      <c r="D179"/>
    </row>
    <row r="180" spans="1:4" x14ac:dyDescent="0.25">
      <c r="A180"/>
      <c r="B180"/>
      <c r="C180"/>
      <c r="D180"/>
    </row>
    <row r="181" spans="1:4" x14ac:dyDescent="0.25">
      <c r="A181"/>
      <c r="B181"/>
      <c r="C181"/>
      <c r="D181"/>
    </row>
    <row r="182" spans="1:4" x14ac:dyDescent="0.25">
      <c r="A182"/>
      <c r="B182"/>
      <c r="C182"/>
      <c r="D182"/>
    </row>
    <row r="183" spans="1:4" x14ac:dyDescent="0.25">
      <c r="A183"/>
      <c r="B183"/>
      <c r="C183"/>
      <c r="D183"/>
    </row>
    <row r="184" spans="1:4" x14ac:dyDescent="0.25">
      <c r="A184"/>
      <c r="B184"/>
      <c r="C184"/>
      <c r="D184"/>
    </row>
    <row r="185" spans="1:4" x14ac:dyDescent="0.25">
      <c r="A185"/>
      <c r="B185"/>
      <c r="C185"/>
      <c r="D185"/>
    </row>
    <row r="186" spans="1:4" x14ac:dyDescent="0.25">
      <c r="A186"/>
      <c r="B186"/>
      <c r="C186"/>
      <c r="D186"/>
    </row>
    <row r="187" spans="1:4" x14ac:dyDescent="0.25">
      <c r="A187"/>
      <c r="B187"/>
      <c r="C187"/>
      <c r="D187"/>
    </row>
    <row r="188" spans="1:4" x14ac:dyDescent="0.25">
      <c r="A188"/>
      <c r="B188"/>
      <c r="C188"/>
      <c r="D188"/>
    </row>
    <row r="189" spans="1:4" x14ac:dyDescent="0.25">
      <c r="A189"/>
      <c r="B189"/>
      <c r="C189"/>
      <c r="D189"/>
    </row>
    <row r="190" spans="1:4" x14ac:dyDescent="0.25">
      <c r="A190"/>
      <c r="B190"/>
      <c r="C190"/>
      <c r="D190"/>
    </row>
    <row r="191" spans="1:4" x14ac:dyDescent="0.25">
      <c r="A191"/>
      <c r="B191"/>
      <c r="C191"/>
      <c r="D191"/>
    </row>
    <row r="192" spans="1:4" x14ac:dyDescent="0.25">
      <c r="A192"/>
      <c r="B192"/>
      <c r="C192"/>
      <c r="D192"/>
    </row>
    <row r="193" spans="1:4" x14ac:dyDescent="0.25">
      <c r="A193"/>
      <c r="B193"/>
      <c r="C193"/>
      <c r="D193"/>
    </row>
    <row r="194" spans="1:4" x14ac:dyDescent="0.25">
      <c r="A194"/>
      <c r="B194"/>
      <c r="C194"/>
      <c r="D194"/>
    </row>
    <row r="195" spans="1:4" x14ac:dyDescent="0.25">
      <c r="A195"/>
      <c r="B195"/>
      <c r="C195"/>
      <c r="D195"/>
    </row>
    <row r="196" spans="1:4" x14ac:dyDescent="0.25">
      <c r="A196"/>
      <c r="B196"/>
      <c r="C196"/>
      <c r="D196"/>
    </row>
    <row r="197" spans="1:4" x14ac:dyDescent="0.25">
      <c r="A197"/>
      <c r="B197"/>
      <c r="C197"/>
      <c r="D197"/>
    </row>
    <row r="198" spans="1:4" x14ac:dyDescent="0.25">
      <c r="A198"/>
      <c r="B198"/>
      <c r="C198"/>
      <c r="D198"/>
    </row>
    <row r="199" spans="1:4" x14ac:dyDescent="0.25">
      <c r="A199"/>
      <c r="B199"/>
      <c r="C199"/>
      <c r="D199"/>
    </row>
    <row r="200" spans="1:4" x14ac:dyDescent="0.25">
      <c r="A200"/>
      <c r="B200"/>
      <c r="C200"/>
      <c r="D200"/>
    </row>
    <row r="201" spans="1:4" x14ac:dyDescent="0.25">
      <c r="A201"/>
      <c r="B201"/>
      <c r="C201"/>
      <c r="D201"/>
    </row>
    <row r="202" spans="1:4" x14ac:dyDescent="0.25">
      <c r="A202"/>
      <c r="B202"/>
      <c r="C202"/>
      <c r="D202"/>
    </row>
    <row r="203" spans="1:4" x14ac:dyDescent="0.25">
      <c r="A203"/>
      <c r="B203"/>
      <c r="C203"/>
      <c r="D203"/>
    </row>
    <row r="204" spans="1:4" x14ac:dyDescent="0.25">
      <c r="A204"/>
      <c r="B204"/>
      <c r="C204"/>
      <c r="D204"/>
    </row>
    <row r="205" spans="1:4" x14ac:dyDescent="0.25">
      <c r="A205"/>
      <c r="B205"/>
      <c r="C205"/>
      <c r="D205"/>
    </row>
    <row r="206" spans="1:4" x14ac:dyDescent="0.25">
      <c r="A206"/>
      <c r="B206"/>
      <c r="C206"/>
      <c r="D206"/>
    </row>
    <row r="207" spans="1:4" x14ac:dyDescent="0.25">
      <c r="A207"/>
      <c r="B207"/>
      <c r="C207"/>
      <c r="D207"/>
    </row>
    <row r="208" spans="1:4" x14ac:dyDescent="0.25">
      <c r="A208"/>
      <c r="B208"/>
      <c r="C208"/>
      <c r="D208"/>
    </row>
    <row r="209" spans="1:4" x14ac:dyDescent="0.25">
      <c r="A209"/>
      <c r="B209"/>
      <c r="C209"/>
      <c r="D209"/>
    </row>
    <row r="210" spans="1:4" x14ac:dyDescent="0.25">
      <c r="A210"/>
      <c r="B210"/>
      <c r="C210"/>
      <c r="D210"/>
    </row>
    <row r="211" spans="1:4" x14ac:dyDescent="0.25">
      <c r="A211"/>
      <c r="B211"/>
      <c r="C211"/>
      <c r="D211"/>
    </row>
    <row r="212" spans="1:4" x14ac:dyDescent="0.25">
      <c r="A212"/>
      <c r="B212"/>
      <c r="C212"/>
      <c r="D212"/>
    </row>
    <row r="213" spans="1:4" x14ac:dyDescent="0.25">
      <c r="A213"/>
      <c r="B213"/>
      <c r="C213"/>
      <c r="D213"/>
    </row>
    <row r="214" spans="1:4" x14ac:dyDescent="0.25">
      <c r="A214"/>
      <c r="B214"/>
      <c r="C214"/>
      <c r="D214"/>
    </row>
    <row r="215" spans="1:4" x14ac:dyDescent="0.25">
      <c r="A215"/>
      <c r="B215"/>
      <c r="C215"/>
      <c r="D215"/>
    </row>
    <row r="216" spans="1:4" x14ac:dyDescent="0.25">
      <c r="A216"/>
      <c r="B216"/>
      <c r="C216"/>
      <c r="D216"/>
    </row>
    <row r="217" spans="1:4" x14ac:dyDescent="0.25">
      <c r="A217"/>
      <c r="B217"/>
      <c r="C217"/>
      <c r="D217"/>
    </row>
    <row r="218" spans="1:4" x14ac:dyDescent="0.25">
      <c r="A218"/>
      <c r="B218"/>
      <c r="C218"/>
      <c r="D218"/>
    </row>
    <row r="219" spans="1:4" x14ac:dyDescent="0.25">
      <c r="A219"/>
      <c r="B219"/>
      <c r="C219"/>
      <c r="D219"/>
    </row>
    <row r="220" spans="1:4" x14ac:dyDescent="0.25">
      <c r="A220"/>
      <c r="B220"/>
      <c r="C220"/>
      <c r="D220"/>
    </row>
    <row r="221" spans="1:4" x14ac:dyDescent="0.25">
      <c r="A221"/>
      <c r="B221"/>
      <c r="C221"/>
      <c r="D221"/>
    </row>
    <row r="222" spans="1:4" x14ac:dyDescent="0.25">
      <c r="A222"/>
      <c r="B222"/>
      <c r="C222"/>
      <c r="D222"/>
    </row>
    <row r="223" spans="1:4" x14ac:dyDescent="0.25">
      <c r="A223"/>
      <c r="B223"/>
      <c r="C223"/>
      <c r="D223"/>
    </row>
    <row r="224" spans="1:4" x14ac:dyDescent="0.25">
      <c r="A224"/>
      <c r="B224"/>
      <c r="C224"/>
      <c r="D224"/>
    </row>
    <row r="225" spans="1:4" x14ac:dyDescent="0.25">
      <c r="A225"/>
      <c r="B225"/>
      <c r="C225"/>
      <c r="D225"/>
    </row>
    <row r="226" spans="1:4" x14ac:dyDescent="0.25">
      <c r="A226"/>
      <c r="B226"/>
      <c r="C226"/>
      <c r="D226"/>
    </row>
    <row r="227" spans="1:4" x14ac:dyDescent="0.25">
      <c r="A227"/>
      <c r="B227"/>
      <c r="C227"/>
      <c r="D227"/>
    </row>
    <row r="228" spans="1:4" x14ac:dyDescent="0.25">
      <c r="A228"/>
      <c r="B228"/>
      <c r="C228"/>
      <c r="D228"/>
    </row>
    <row r="229" spans="1:4" x14ac:dyDescent="0.25">
      <c r="A229"/>
      <c r="B229"/>
      <c r="C229"/>
      <c r="D229"/>
    </row>
    <row r="230" spans="1:4" x14ac:dyDescent="0.25">
      <c r="A230"/>
      <c r="B230"/>
      <c r="C230"/>
      <c r="D230"/>
    </row>
    <row r="231" spans="1:4" x14ac:dyDescent="0.25">
      <c r="A231"/>
      <c r="B231"/>
      <c r="C231"/>
      <c r="D231"/>
    </row>
    <row r="232" spans="1:4" x14ac:dyDescent="0.25">
      <c r="A232"/>
      <c r="B232"/>
      <c r="C232"/>
      <c r="D232"/>
    </row>
    <row r="233" spans="1:4" x14ac:dyDescent="0.25">
      <c r="A233"/>
      <c r="B233"/>
      <c r="C233"/>
      <c r="D233"/>
    </row>
    <row r="234" spans="1:4" x14ac:dyDescent="0.25">
      <c r="A234"/>
      <c r="B234"/>
      <c r="C234"/>
      <c r="D234"/>
    </row>
    <row r="235" spans="1:4" x14ac:dyDescent="0.25">
      <c r="A235"/>
      <c r="B235"/>
      <c r="C235"/>
      <c r="D235"/>
    </row>
    <row r="236" spans="1:4" x14ac:dyDescent="0.25">
      <c r="A236"/>
      <c r="B236"/>
      <c r="C236"/>
      <c r="D236"/>
    </row>
    <row r="237" spans="1:4" x14ac:dyDescent="0.25">
      <c r="A237"/>
      <c r="B237"/>
      <c r="C237"/>
      <c r="D237"/>
    </row>
    <row r="238" spans="1:4" x14ac:dyDescent="0.25">
      <c r="A238"/>
      <c r="B238"/>
      <c r="C238"/>
      <c r="D238"/>
    </row>
    <row r="239" spans="1:4" x14ac:dyDescent="0.25">
      <c r="A239"/>
      <c r="B239"/>
      <c r="C239"/>
      <c r="D239"/>
    </row>
    <row r="240" spans="1:4" x14ac:dyDescent="0.25">
      <c r="A240"/>
      <c r="B240"/>
      <c r="C240"/>
      <c r="D240"/>
    </row>
    <row r="241" spans="1:4" x14ac:dyDescent="0.25">
      <c r="A241"/>
      <c r="B241"/>
      <c r="C241"/>
      <c r="D241"/>
    </row>
    <row r="242" spans="1:4" x14ac:dyDescent="0.25">
      <c r="A242"/>
      <c r="B242"/>
      <c r="C242"/>
      <c r="D242"/>
    </row>
    <row r="243" spans="1:4" x14ac:dyDescent="0.25">
      <c r="A243"/>
      <c r="B243"/>
      <c r="C243"/>
      <c r="D243"/>
    </row>
    <row r="244" spans="1:4" x14ac:dyDescent="0.25">
      <c r="A244"/>
      <c r="B244"/>
      <c r="C244"/>
      <c r="D244"/>
    </row>
    <row r="245" spans="1:4" x14ac:dyDescent="0.25">
      <c r="A245"/>
      <c r="B245"/>
      <c r="C245"/>
      <c r="D245"/>
    </row>
    <row r="246" spans="1:4" x14ac:dyDescent="0.25">
      <c r="A246"/>
      <c r="B246"/>
      <c r="C246"/>
      <c r="D246"/>
    </row>
    <row r="247" spans="1:4" x14ac:dyDescent="0.25">
      <c r="A247"/>
      <c r="B247"/>
      <c r="C247"/>
      <c r="D247"/>
    </row>
    <row r="248" spans="1:4" x14ac:dyDescent="0.25">
      <c r="A248"/>
      <c r="B248"/>
      <c r="C248"/>
      <c r="D248"/>
    </row>
    <row r="249" spans="1:4" x14ac:dyDescent="0.25">
      <c r="A249"/>
      <c r="B249"/>
      <c r="C249"/>
      <c r="D249"/>
    </row>
    <row r="250" spans="1:4" x14ac:dyDescent="0.25">
      <c r="A250"/>
      <c r="B250"/>
      <c r="C250"/>
      <c r="D250"/>
    </row>
    <row r="251" spans="1:4" x14ac:dyDescent="0.25">
      <c r="A251"/>
      <c r="B251"/>
      <c r="C251"/>
      <c r="D251"/>
    </row>
    <row r="252" spans="1:4" x14ac:dyDescent="0.25">
      <c r="A252"/>
      <c r="B252"/>
      <c r="C252"/>
      <c r="D252"/>
    </row>
    <row r="253" spans="1:4" x14ac:dyDescent="0.25">
      <c r="A253"/>
      <c r="B253"/>
      <c r="C253"/>
      <c r="D253"/>
    </row>
    <row r="254" spans="1:4" x14ac:dyDescent="0.25">
      <c r="A254"/>
      <c r="B254"/>
      <c r="C254"/>
      <c r="D254"/>
    </row>
    <row r="255" spans="1:4" x14ac:dyDescent="0.25">
      <c r="A255"/>
      <c r="B255"/>
      <c r="C255"/>
      <c r="D255"/>
    </row>
    <row r="256" spans="1:4" x14ac:dyDescent="0.25">
      <c r="A256"/>
      <c r="B256"/>
      <c r="C256"/>
      <c r="D256"/>
    </row>
    <row r="257" spans="1:4" x14ac:dyDescent="0.25">
      <c r="A257"/>
      <c r="B257"/>
      <c r="C257"/>
      <c r="D257"/>
    </row>
    <row r="258" spans="1:4" x14ac:dyDescent="0.25">
      <c r="A258"/>
      <c r="B258"/>
      <c r="C258"/>
      <c r="D258"/>
    </row>
    <row r="259" spans="1:4" x14ac:dyDescent="0.25">
      <c r="A259"/>
      <c r="B259"/>
      <c r="C259"/>
      <c r="D259"/>
    </row>
    <row r="260" spans="1:4" x14ac:dyDescent="0.25">
      <c r="A260"/>
      <c r="B260"/>
      <c r="C260"/>
      <c r="D260"/>
    </row>
    <row r="261" spans="1:4" x14ac:dyDescent="0.25">
      <c r="A261"/>
      <c r="B261"/>
      <c r="C261"/>
      <c r="D261"/>
    </row>
    <row r="262" spans="1:4" x14ac:dyDescent="0.25">
      <c r="A262"/>
      <c r="B262"/>
      <c r="C262"/>
      <c r="D262"/>
    </row>
    <row r="263" spans="1:4" x14ac:dyDescent="0.25">
      <c r="A263"/>
      <c r="B263"/>
      <c r="C263"/>
      <c r="D263"/>
    </row>
    <row r="264" spans="1:4" x14ac:dyDescent="0.25">
      <c r="A264"/>
      <c r="B264"/>
      <c r="C264"/>
      <c r="D264"/>
    </row>
    <row r="265" spans="1:4" x14ac:dyDescent="0.25">
      <c r="A265"/>
      <c r="B265"/>
      <c r="C265"/>
      <c r="D265"/>
    </row>
    <row r="266" spans="1:4" x14ac:dyDescent="0.25">
      <c r="A266"/>
      <c r="B266"/>
      <c r="C266"/>
      <c r="D266"/>
    </row>
    <row r="267" spans="1:4" x14ac:dyDescent="0.25">
      <c r="A267"/>
      <c r="B267"/>
      <c r="C267"/>
      <c r="D267"/>
    </row>
    <row r="268" spans="1:4" x14ac:dyDescent="0.25">
      <c r="A268"/>
      <c r="B268"/>
      <c r="C268"/>
      <c r="D268"/>
    </row>
    <row r="269" spans="1:4" x14ac:dyDescent="0.25">
      <c r="A269"/>
      <c r="B269"/>
      <c r="C269"/>
      <c r="D269"/>
    </row>
    <row r="270" spans="1:4" x14ac:dyDescent="0.25">
      <c r="A270"/>
      <c r="B270"/>
      <c r="C270"/>
      <c r="D270"/>
    </row>
    <row r="271" spans="1:4" x14ac:dyDescent="0.25">
      <c r="A271"/>
      <c r="B271"/>
      <c r="C271"/>
      <c r="D271"/>
    </row>
    <row r="272" spans="1:4" x14ac:dyDescent="0.25">
      <c r="A272"/>
      <c r="B272"/>
      <c r="C272"/>
      <c r="D272"/>
    </row>
    <row r="273" spans="1:4" x14ac:dyDescent="0.25">
      <c r="A273"/>
      <c r="B273"/>
      <c r="C273"/>
      <c r="D273"/>
    </row>
    <row r="274" spans="1:4" x14ac:dyDescent="0.25">
      <c r="A274"/>
      <c r="B274"/>
      <c r="C274"/>
      <c r="D274"/>
    </row>
    <row r="275" spans="1:4" x14ac:dyDescent="0.25">
      <c r="A275"/>
      <c r="B275"/>
      <c r="C275"/>
      <c r="D275"/>
    </row>
    <row r="276" spans="1:4" x14ac:dyDescent="0.25">
      <c r="A276"/>
      <c r="B276"/>
      <c r="C276"/>
      <c r="D276"/>
    </row>
    <row r="277" spans="1:4" x14ac:dyDescent="0.25">
      <c r="A277"/>
      <c r="B277"/>
      <c r="C277"/>
      <c r="D277"/>
    </row>
    <row r="278" spans="1:4" x14ac:dyDescent="0.25">
      <c r="A278"/>
      <c r="B278"/>
      <c r="C278"/>
      <c r="D278"/>
    </row>
    <row r="279" spans="1:4" x14ac:dyDescent="0.25">
      <c r="A279"/>
      <c r="B279"/>
      <c r="C279"/>
      <c r="D279"/>
    </row>
    <row r="280" spans="1:4" x14ac:dyDescent="0.25">
      <c r="A280"/>
      <c r="B280"/>
      <c r="C280"/>
      <c r="D280"/>
    </row>
    <row r="281" spans="1:4" x14ac:dyDescent="0.25">
      <c r="A281"/>
      <c r="B281"/>
      <c r="C281"/>
      <c r="D281"/>
    </row>
    <row r="282" spans="1:4" x14ac:dyDescent="0.25">
      <c r="A282"/>
      <c r="B282"/>
      <c r="C282"/>
      <c r="D282"/>
    </row>
    <row r="283" spans="1:4" x14ac:dyDescent="0.25">
      <c r="A283"/>
      <c r="B283"/>
      <c r="C283"/>
      <c r="D283"/>
    </row>
    <row r="284" spans="1:4" x14ac:dyDescent="0.25">
      <c r="A284"/>
      <c r="B284"/>
      <c r="C284"/>
      <c r="D284"/>
    </row>
    <row r="285" spans="1:4" x14ac:dyDescent="0.25">
      <c r="A285"/>
      <c r="B285"/>
      <c r="C285"/>
      <c r="D285"/>
    </row>
    <row r="286" spans="1:4" x14ac:dyDescent="0.25">
      <c r="A286"/>
      <c r="B286"/>
      <c r="C286"/>
      <c r="D286"/>
    </row>
    <row r="287" spans="1:4" x14ac:dyDescent="0.25">
      <c r="A287"/>
      <c r="B287"/>
      <c r="C287"/>
      <c r="D287"/>
    </row>
    <row r="288" spans="1:4" x14ac:dyDescent="0.25">
      <c r="A288"/>
      <c r="B288"/>
      <c r="C288"/>
      <c r="D288"/>
    </row>
    <row r="289" spans="1:4" x14ac:dyDescent="0.25">
      <c r="A289"/>
      <c r="B289"/>
      <c r="C289"/>
      <c r="D289"/>
    </row>
    <row r="290" spans="1:4" x14ac:dyDescent="0.25">
      <c r="A290"/>
      <c r="B290"/>
      <c r="C290"/>
      <c r="D290"/>
    </row>
    <row r="291" spans="1:4" x14ac:dyDescent="0.25">
      <c r="A291"/>
      <c r="B291"/>
      <c r="C291"/>
      <c r="D291"/>
    </row>
    <row r="292" spans="1:4" x14ac:dyDescent="0.25">
      <c r="A292"/>
      <c r="B292"/>
      <c r="C292"/>
      <c r="D292"/>
    </row>
    <row r="293" spans="1:4" x14ac:dyDescent="0.25">
      <c r="A293"/>
      <c r="B293"/>
      <c r="C293"/>
      <c r="D293"/>
    </row>
    <row r="294" spans="1:4" x14ac:dyDescent="0.25">
      <c r="A294"/>
      <c r="B294"/>
      <c r="C294"/>
      <c r="D294"/>
    </row>
    <row r="295" spans="1:4" x14ac:dyDescent="0.25">
      <c r="A295"/>
      <c r="B295"/>
      <c r="C295"/>
      <c r="D295"/>
    </row>
    <row r="296" spans="1:4" x14ac:dyDescent="0.25">
      <c r="A296"/>
      <c r="B296"/>
      <c r="C296"/>
      <c r="D296"/>
    </row>
    <row r="297" spans="1:4" x14ac:dyDescent="0.25">
      <c r="A297"/>
      <c r="B297"/>
      <c r="C297"/>
      <c r="D297"/>
    </row>
    <row r="298" spans="1:4" x14ac:dyDescent="0.25">
      <c r="A298"/>
      <c r="B298"/>
      <c r="C298"/>
      <c r="D298"/>
    </row>
    <row r="299" spans="1:4" x14ac:dyDescent="0.25">
      <c r="A299"/>
      <c r="B299"/>
      <c r="C299"/>
      <c r="D299"/>
    </row>
    <row r="300" spans="1:4" x14ac:dyDescent="0.25">
      <c r="A300"/>
      <c r="B300"/>
      <c r="C300"/>
      <c r="D300"/>
    </row>
    <row r="301" spans="1:4" x14ac:dyDescent="0.25">
      <c r="A301"/>
      <c r="B301"/>
      <c r="C301"/>
      <c r="D301"/>
    </row>
    <row r="302" spans="1:4" x14ac:dyDescent="0.25">
      <c r="A302"/>
      <c r="B302"/>
      <c r="C302"/>
      <c r="D302"/>
    </row>
    <row r="303" spans="1:4" x14ac:dyDescent="0.25">
      <c r="A303"/>
      <c r="B303"/>
      <c r="C303"/>
      <c r="D303"/>
    </row>
    <row r="304" spans="1:4" x14ac:dyDescent="0.25">
      <c r="A304"/>
      <c r="B304"/>
      <c r="C304"/>
      <c r="D304"/>
    </row>
    <row r="305" spans="1:4" x14ac:dyDescent="0.25">
      <c r="A305"/>
      <c r="B305"/>
      <c r="C305"/>
      <c r="D305"/>
    </row>
    <row r="306" spans="1:4" x14ac:dyDescent="0.25">
      <c r="A306"/>
      <c r="B306"/>
      <c r="C306"/>
      <c r="D306"/>
    </row>
    <row r="307" spans="1:4" x14ac:dyDescent="0.25">
      <c r="A307"/>
      <c r="B307"/>
      <c r="C307"/>
      <c r="D307"/>
    </row>
    <row r="308" spans="1:4" x14ac:dyDescent="0.25">
      <c r="A308"/>
      <c r="B308"/>
      <c r="C308"/>
      <c r="D308"/>
    </row>
    <row r="309" spans="1:4" x14ac:dyDescent="0.25">
      <c r="A309"/>
      <c r="B309"/>
      <c r="C309"/>
      <c r="D309"/>
    </row>
    <row r="310" spans="1:4" x14ac:dyDescent="0.25">
      <c r="A310"/>
      <c r="B310"/>
      <c r="C310"/>
      <c r="D310"/>
    </row>
    <row r="311" spans="1:4" x14ac:dyDescent="0.25">
      <c r="A311"/>
      <c r="B311"/>
      <c r="C311"/>
      <c r="D311"/>
    </row>
    <row r="312" spans="1:4" x14ac:dyDescent="0.25">
      <c r="A312"/>
      <c r="B312"/>
      <c r="C312"/>
      <c r="D312"/>
    </row>
    <row r="313" spans="1:4" x14ac:dyDescent="0.25">
      <c r="A313"/>
      <c r="B313"/>
      <c r="C313"/>
      <c r="D313"/>
    </row>
    <row r="314" spans="1:4" x14ac:dyDescent="0.25">
      <c r="A314"/>
      <c r="B314"/>
      <c r="C314"/>
      <c r="D314"/>
    </row>
    <row r="315" spans="1:4" x14ac:dyDescent="0.25">
      <c r="A315"/>
      <c r="B315"/>
      <c r="C315"/>
      <c r="D315"/>
    </row>
    <row r="316" spans="1:4" x14ac:dyDescent="0.25">
      <c r="A316"/>
      <c r="B316"/>
      <c r="C316"/>
      <c r="D316"/>
    </row>
    <row r="317" spans="1:4" x14ac:dyDescent="0.25">
      <c r="A317"/>
      <c r="B317"/>
      <c r="C317"/>
      <c r="D317"/>
    </row>
    <row r="318" spans="1:4" x14ac:dyDescent="0.25">
      <c r="A318"/>
      <c r="B318"/>
      <c r="C318"/>
      <c r="D318"/>
    </row>
    <row r="319" spans="1:4" x14ac:dyDescent="0.25">
      <c r="A319"/>
      <c r="B319"/>
      <c r="C319"/>
      <c r="D319"/>
    </row>
    <row r="320" spans="1:4" x14ac:dyDescent="0.25">
      <c r="A320"/>
      <c r="B320"/>
      <c r="C320"/>
      <c r="D320"/>
    </row>
    <row r="321" spans="1:4" x14ac:dyDescent="0.25">
      <c r="A321"/>
      <c r="B321"/>
      <c r="C321"/>
      <c r="D321"/>
    </row>
    <row r="322" spans="1:4" x14ac:dyDescent="0.25">
      <c r="A322"/>
      <c r="B322"/>
      <c r="C322"/>
      <c r="D322"/>
    </row>
    <row r="323" spans="1:4" x14ac:dyDescent="0.25">
      <c r="A323"/>
      <c r="B323"/>
      <c r="C323"/>
      <c r="D323"/>
    </row>
    <row r="324" spans="1:4" x14ac:dyDescent="0.25">
      <c r="A324"/>
      <c r="B324"/>
      <c r="C324"/>
      <c r="D324"/>
    </row>
    <row r="325" spans="1:4" x14ac:dyDescent="0.25">
      <c r="A325"/>
      <c r="B325"/>
      <c r="C325"/>
      <c r="D325"/>
    </row>
    <row r="326" spans="1:4" x14ac:dyDescent="0.25">
      <c r="A326"/>
      <c r="B326"/>
      <c r="C326"/>
      <c r="D326"/>
    </row>
    <row r="327" spans="1:4" x14ac:dyDescent="0.25">
      <c r="A327"/>
      <c r="B327"/>
      <c r="C327"/>
      <c r="D327"/>
    </row>
    <row r="328" spans="1:4" x14ac:dyDescent="0.25">
      <c r="A328"/>
      <c r="B328"/>
      <c r="C328"/>
      <c r="D328"/>
    </row>
    <row r="329" spans="1:4" x14ac:dyDescent="0.25">
      <c r="A329"/>
      <c r="B329"/>
      <c r="C329"/>
      <c r="D329"/>
    </row>
    <row r="330" spans="1:4" x14ac:dyDescent="0.25">
      <c r="A330"/>
      <c r="B330"/>
      <c r="C330"/>
      <c r="D330"/>
    </row>
    <row r="331" spans="1:4" x14ac:dyDescent="0.25">
      <c r="A331"/>
      <c r="B331"/>
      <c r="C331"/>
      <c r="D331"/>
    </row>
    <row r="332" spans="1:4" x14ac:dyDescent="0.25">
      <c r="A332"/>
      <c r="B332"/>
      <c r="C332"/>
      <c r="D332"/>
    </row>
    <row r="333" spans="1:4" x14ac:dyDescent="0.25">
      <c r="A333"/>
      <c r="B333"/>
      <c r="C333"/>
      <c r="D333"/>
    </row>
    <row r="334" spans="1:4" x14ac:dyDescent="0.25">
      <c r="A334"/>
      <c r="B334"/>
      <c r="C334"/>
      <c r="D334"/>
    </row>
    <row r="335" spans="1:4" x14ac:dyDescent="0.25">
      <c r="A335"/>
      <c r="B335"/>
      <c r="C335"/>
      <c r="D335"/>
    </row>
    <row r="336" spans="1:4" x14ac:dyDescent="0.25">
      <c r="A336"/>
      <c r="B336"/>
      <c r="C336"/>
      <c r="D336"/>
    </row>
    <row r="337" spans="1:4" x14ac:dyDescent="0.25">
      <c r="A337"/>
      <c r="B337"/>
      <c r="C337"/>
      <c r="D337"/>
    </row>
    <row r="338" spans="1:4" x14ac:dyDescent="0.25">
      <c r="A338"/>
      <c r="B338"/>
      <c r="C338"/>
      <c r="D338"/>
    </row>
    <row r="339" spans="1:4" x14ac:dyDescent="0.25">
      <c r="A339"/>
      <c r="B339"/>
      <c r="C339"/>
      <c r="D339"/>
    </row>
    <row r="340" spans="1:4" x14ac:dyDescent="0.25">
      <c r="A340"/>
      <c r="B340"/>
      <c r="C340"/>
      <c r="D340"/>
    </row>
    <row r="341" spans="1:4" x14ac:dyDescent="0.25">
      <c r="A341"/>
      <c r="B341"/>
      <c r="C341"/>
      <c r="D341"/>
    </row>
    <row r="342" spans="1:4" x14ac:dyDescent="0.25">
      <c r="A342"/>
      <c r="B342"/>
      <c r="C342"/>
      <c r="D342"/>
    </row>
    <row r="343" spans="1:4" x14ac:dyDescent="0.25">
      <c r="A343"/>
      <c r="B343"/>
      <c r="C343"/>
      <c r="D343"/>
    </row>
    <row r="344" spans="1:4" x14ac:dyDescent="0.25">
      <c r="A344"/>
      <c r="B344"/>
      <c r="C344"/>
      <c r="D344"/>
    </row>
    <row r="345" spans="1:4" x14ac:dyDescent="0.25">
      <c r="A345"/>
      <c r="B345"/>
      <c r="C345"/>
      <c r="D345"/>
    </row>
    <row r="346" spans="1:4" x14ac:dyDescent="0.25">
      <c r="A346"/>
      <c r="B346"/>
      <c r="C346"/>
      <c r="D346"/>
    </row>
    <row r="347" spans="1:4" x14ac:dyDescent="0.25">
      <c r="A347"/>
      <c r="B347"/>
      <c r="C347"/>
      <c r="D347"/>
    </row>
    <row r="348" spans="1:4" x14ac:dyDescent="0.25">
      <c r="A348"/>
      <c r="B348"/>
      <c r="C348"/>
      <c r="D348"/>
    </row>
    <row r="349" spans="1:4" x14ac:dyDescent="0.25">
      <c r="A349"/>
      <c r="B349"/>
      <c r="C349"/>
      <c r="D349"/>
    </row>
    <row r="350" spans="1:4" x14ac:dyDescent="0.25">
      <c r="A350"/>
      <c r="B350"/>
      <c r="C350"/>
      <c r="D350"/>
    </row>
    <row r="351" spans="1:4" x14ac:dyDescent="0.25">
      <c r="A351"/>
      <c r="B351"/>
      <c r="C351"/>
      <c r="D351"/>
    </row>
    <row r="352" spans="1:4" x14ac:dyDescent="0.25">
      <c r="A352"/>
      <c r="B352"/>
      <c r="C352"/>
      <c r="D352"/>
    </row>
    <row r="353" spans="1:4" x14ac:dyDescent="0.25">
      <c r="A353"/>
      <c r="B353"/>
      <c r="C353"/>
      <c r="D353"/>
    </row>
    <row r="354" spans="1:4" x14ac:dyDescent="0.25">
      <c r="A354"/>
      <c r="B354"/>
      <c r="C354"/>
      <c r="D354"/>
    </row>
    <row r="355" spans="1:4" x14ac:dyDescent="0.25">
      <c r="A355"/>
      <c r="B355"/>
      <c r="C355"/>
      <c r="D355"/>
    </row>
    <row r="356" spans="1:4" x14ac:dyDescent="0.25">
      <c r="A356"/>
      <c r="B356"/>
      <c r="C356"/>
      <c r="D356"/>
    </row>
    <row r="357" spans="1:4" x14ac:dyDescent="0.25">
      <c r="A357"/>
      <c r="B357"/>
      <c r="C357"/>
      <c r="D357"/>
    </row>
    <row r="358" spans="1:4" x14ac:dyDescent="0.25">
      <c r="A358"/>
      <c r="B358"/>
      <c r="C358"/>
      <c r="D358"/>
    </row>
    <row r="359" spans="1:4" x14ac:dyDescent="0.25">
      <c r="A359"/>
      <c r="B359"/>
      <c r="C359"/>
      <c r="D359"/>
    </row>
    <row r="360" spans="1:4" x14ac:dyDescent="0.25">
      <c r="A360"/>
      <c r="B360"/>
      <c r="C360"/>
      <c r="D360"/>
    </row>
    <row r="361" spans="1:4" x14ac:dyDescent="0.25">
      <c r="A361"/>
      <c r="B361"/>
      <c r="C361"/>
      <c r="D361"/>
    </row>
    <row r="362" spans="1:4" x14ac:dyDescent="0.25">
      <c r="A362"/>
      <c r="B362"/>
      <c r="C362"/>
      <c r="D362"/>
    </row>
    <row r="363" spans="1:4" x14ac:dyDescent="0.25">
      <c r="A363"/>
      <c r="B363"/>
      <c r="C363"/>
      <c r="D363"/>
    </row>
    <row r="364" spans="1:4" x14ac:dyDescent="0.25">
      <c r="A364"/>
      <c r="B364"/>
      <c r="C364"/>
      <c r="D364"/>
    </row>
    <row r="365" spans="1:4" x14ac:dyDescent="0.25">
      <c r="A365"/>
      <c r="B365"/>
      <c r="C365"/>
      <c r="D365"/>
    </row>
    <row r="366" spans="1:4" x14ac:dyDescent="0.25">
      <c r="A366"/>
      <c r="B366"/>
      <c r="C366"/>
      <c r="D366"/>
    </row>
    <row r="367" spans="1:4" x14ac:dyDescent="0.25">
      <c r="A367"/>
      <c r="B367"/>
      <c r="C367"/>
      <c r="D367"/>
    </row>
    <row r="368" spans="1:4" x14ac:dyDescent="0.25">
      <c r="A368"/>
      <c r="B368"/>
      <c r="C368"/>
      <c r="D368"/>
    </row>
    <row r="369" spans="1:4" x14ac:dyDescent="0.25">
      <c r="A369"/>
      <c r="B369"/>
      <c r="C369"/>
      <c r="D369"/>
    </row>
    <row r="370" spans="1:4" x14ac:dyDescent="0.25">
      <c r="A370"/>
      <c r="B370"/>
      <c r="C370"/>
      <c r="D370"/>
    </row>
    <row r="371" spans="1:4" x14ac:dyDescent="0.25">
      <c r="A371"/>
      <c r="B371"/>
      <c r="C371"/>
      <c r="D371"/>
    </row>
    <row r="372" spans="1:4" x14ac:dyDescent="0.25">
      <c r="A372"/>
      <c r="B372"/>
      <c r="C372"/>
      <c r="D372"/>
    </row>
    <row r="373" spans="1:4" x14ac:dyDescent="0.25">
      <c r="A373"/>
      <c r="B373"/>
      <c r="C373"/>
      <c r="D373"/>
    </row>
    <row r="374" spans="1:4" x14ac:dyDescent="0.25">
      <c r="A374"/>
      <c r="B374"/>
      <c r="C374"/>
      <c r="D374"/>
    </row>
    <row r="375" spans="1:4" x14ac:dyDescent="0.25">
      <c r="A375"/>
      <c r="B375"/>
      <c r="C375"/>
      <c r="D375"/>
    </row>
    <row r="376" spans="1:4" x14ac:dyDescent="0.25">
      <c r="A376"/>
      <c r="B376"/>
      <c r="C376"/>
      <c r="D376"/>
    </row>
    <row r="377" spans="1:4" x14ac:dyDescent="0.25">
      <c r="A377"/>
      <c r="B377"/>
      <c r="C377"/>
      <c r="D377"/>
    </row>
    <row r="378" spans="1:4" x14ac:dyDescent="0.25">
      <c r="A378"/>
      <c r="B378"/>
      <c r="C378"/>
      <c r="D378"/>
    </row>
    <row r="379" spans="1:4" x14ac:dyDescent="0.25">
      <c r="A379"/>
      <c r="B379"/>
      <c r="C379"/>
      <c r="D379"/>
    </row>
    <row r="380" spans="1:4" x14ac:dyDescent="0.25">
      <c r="A380"/>
      <c r="B380"/>
      <c r="C380"/>
      <c r="D380"/>
    </row>
    <row r="381" spans="1:4" x14ac:dyDescent="0.25">
      <c r="A381"/>
      <c r="B381"/>
      <c r="C381"/>
      <c r="D381"/>
    </row>
    <row r="382" spans="1:4" x14ac:dyDescent="0.25">
      <c r="A382"/>
      <c r="B382"/>
      <c r="C382"/>
      <c r="D382"/>
    </row>
    <row r="383" spans="1:4" x14ac:dyDescent="0.25">
      <c r="A383"/>
      <c r="B383"/>
      <c r="C383"/>
      <c r="D383"/>
    </row>
    <row r="384" spans="1:4" x14ac:dyDescent="0.25">
      <c r="A384"/>
      <c r="B384"/>
      <c r="C384"/>
      <c r="D384"/>
    </row>
    <row r="385" spans="1:4" x14ac:dyDescent="0.25">
      <c r="A385"/>
      <c r="B385"/>
      <c r="C385"/>
      <c r="D385"/>
    </row>
    <row r="386" spans="1:4" x14ac:dyDescent="0.25">
      <c r="A386"/>
      <c r="B386"/>
      <c r="C386"/>
      <c r="D386"/>
    </row>
    <row r="387" spans="1:4" x14ac:dyDescent="0.25">
      <c r="A387"/>
      <c r="B387"/>
      <c r="C387"/>
      <c r="D387"/>
    </row>
    <row r="388" spans="1:4" x14ac:dyDescent="0.25">
      <c r="A388"/>
      <c r="B388"/>
      <c r="C388"/>
      <c r="D388"/>
    </row>
    <row r="389" spans="1:4" x14ac:dyDescent="0.25">
      <c r="A389"/>
      <c r="B389"/>
      <c r="C389"/>
      <c r="D389"/>
    </row>
    <row r="390" spans="1:4" x14ac:dyDescent="0.25">
      <c r="A390"/>
      <c r="B390"/>
      <c r="C390"/>
      <c r="D390"/>
    </row>
    <row r="391" spans="1:4" x14ac:dyDescent="0.25">
      <c r="A391"/>
      <c r="B391"/>
      <c r="C391"/>
      <c r="D391"/>
    </row>
    <row r="392" spans="1:4" x14ac:dyDescent="0.25">
      <c r="A392"/>
      <c r="B392"/>
      <c r="C392"/>
      <c r="D392"/>
    </row>
    <row r="393" spans="1:4" x14ac:dyDescent="0.25">
      <c r="A393"/>
      <c r="B393"/>
      <c r="C393"/>
      <c r="D393"/>
    </row>
    <row r="394" spans="1:4" x14ac:dyDescent="0.25">
      <c r="A394"/>
      <c r="B394"/>
      <c r="C394"/>
      <c r="D394"/>
    </row>
    <row r="395" spans="1:4" x14ac:dyDescent="0.25">
      <c r="A395"/>
      <c r="B395"/>
      <c r="C395"/>
      <c r="D395"/>
    </row>
    <row r="396" spans="1:4" x14ac:dyDescent="0.25">
      <c r="A396"/>
      <c r="B396"/>
      <c r="C396"/>
      <c r="D396"/>
    </row>
    <row r="397" spans="1:4" x14ac:dyDescent="0.25">
      <c r="A397"/>
      <c r="B397"/>
      <c r="C397"/>
      <c r="D397"/>
    </row>
    <row r="398" spans="1:4" x14ac:dyDescent="0.25">
      <c r="A398"/>
      <c r="B398"/>
      <c r="C398"/>
      <c r="D398"/>
    </row>
    <row r="399" spans="1:4" x14ac:dyDescent="0.25">
      <c r="A399"/>
      <c r="B399"/>
      <c r="C399"/>
      <c r="D399"/>
    </row>
    <row r="400" spans="1:4" x14ac:dyDescent="0.25">
      <c r="A400"/>
      <c r="B400"/>
      <c r="C400"/>
      <c r="D400"/>
    </row>
    <row r="401" spans="1:4" x14ac:dyDescent="0.25">
      <c r="A401"/>
      <c r="B401"/>
      <c r="C401"/>
      <c r="D401"/>
    </row>
    <row r="402" spans="1:4" x14ac:dyDescent="0.25">
      <c r="A402"/>
      <c r="B402"/>
      <c r="C402"/>
      <c r="D402"/>
    </row>
    <row r="403" spans="1:4" x14ac:dyDescent="0.25">
      <c r="A403"/>
      <c r="B403"/>
      <c r="C403"/>
      <c r="D403"/>
    </row>
    <row r="404" spans="1:4" x14ac:dyDescent="0.25">
      <c r="A404"/>
      <c r="B404"/>
      <c r="C404"/>
      <c r="D404"/>
    </row>
    <row r="405" spans="1:4" x14ac:dyDescent="0.25">
      <c r="A405"/>
      <c r="B405"/>
      <c r="C405"/>
      <c r="D405"/>
    </row>
    <row r="406" spans="1:4" x14ac:dyDescent="0.25">
      <c r="A406"/>
      <c r="B406"/>
      <c r="C406"/>
      <c r="D406"/>
    </row>
    <row r="407" spans="1:4" x14ac:dyDescent="0.25">
      <c r="A407"/>
      <c r="B407"/>
      <c r="C407"/>
      <c r="D407"/>
    </row>
    <row r="408" spans="1:4" x14ac:dyDescent="0.25">
      <c r="A408"/>
      <c r="B408"/>
      <c r="C408"/>
      <c r="D408"/>
    </row>
    <row r="409" spans="1:4" x14ac:dyDescent="0.25">
      <c r="A409"/>
      <c r="B409"/>
      <c r="C409"/>
      <c r="D409"/>
    </row>
    <row r="410" spans="1:4" x14ac:dyDescent="0.25">
      <c r="A410"/>
      <c r="B410"/>
      <c r="C410"/>
      <c r="D410"/>
    </row>
    <row r="411" spans="1:4" x14ac:dyDescent="0.25">
      <c r="A411"/>
      <c r="B411"/>
      <c r="C411"/>
      <c r="D411"/>
    </row>
    <row r="412" spans="1:4" x14ac:dyDescent="0.25">
      <c r="A412"/>
      <c r="B412"/>
      <c r="C412"/>
      <c r="D412"/>
    </row>
    <row r="413" spans="1:4" x14ac:dyDescent="0.25">
      <c r="A413"/>
      <c r="B413"/>
      <c r="C413"/>
      <c r="D413"/>
    </row>
    <row r="414" spans="1:4" x14ac:dyDescent="0.25">
      <c r="A414"/>
      <c r="B414"/>
      <c r="C414"/>
      <c r="D414"/>
    </row>
    <row r="415" spans="1:4" x14ac:dyDescent="0.25">
      <c r="A415"/>
      <c r="B415"/>
      <c r="C415"/>
      <c r="D415"/>
    </row>
    <row r="416" spans="1:4" x14ac:dyDescent="0.25">
      <c r="C416"/>
      <c r="D416"/>
    </row>
    <row r="417" spans="3:4" x14ac:dyDescent="0.25">
      <c r="C417"/>
      <c r="D417"/>
    </row>
    <row r="418" spans="3:4" x14ac:dyDescent="0.25">
      <c r="C418"/>
      <c r="D418"/>
    </row>
    <row r="419" spans="3:4" x14ac:dyDescent="0.25">
      <c r="C419"/>
      <c r="D419"/>
    </row>
    <row r="420" spans="3:4" x14ac:dyDescent="0.25">
      <c r="C420"/>
      <c r="D420"/>
    </row>
    <row r="421" spans="3:4" x14ac:dyDescent="0.25">
      <c r="C421"/>
      <c r="D421"/>
    </row>
    <row r="422" spans="3:4" x14ac:dyDescent="0.25">
      <c r="C422"/>
      <c r="D422"/>
    </row>
    <row r="423" spans="3:4" x14ac:dyDescent="0.25">
      <c r="C423"/>
      <c r="D423"/>
    </row>
    <row r="424" spans="3:4" x14ac:dyDescent="0.25">
      <c r="C424"/>
      <c r="D424"/>
    </row>
    <row r="425" spans="3:4" x14ac:dyDescent="0.25">
      <c r="C425"/>
      <c r="D425"/>
    </row>
    <row r="426" spans="3:4" x14ac:dyDescent="0.25">
      <c r="C426"/>
      <c r="D426"/>
    </row>
    <row r="427" spans="3:4" x14ac:dyDescent="0.25">
      <c r="C427"/>
      <c r="D427"/>
    </row>
    <row r="428" spans="3:4" x14ac:dyDescent="0.25">
      <c r="C428"/>
      <c r="D428"/>
    </row>
    <row r="429" spans="3:4" x14ac:dyDescent="0.25">
      <c r="C429"/>
      <c r="D429"/>
    </row>
    <row r="430" spans="3:4" x14ac:dyDescent="0.25">
      <c r="C430"/>
      <c r="D430"/>
    </row>
    <row r="431" spans="3:4" x14ac:dyDescent="0.25">
      <c r="C431"/>
      <c r="D431"/>
    </row>
    <row r="432" spans="3:4" x14ac:dyDescent="0.25">
      <c r="C432"/>
      <c r="D432"/>
    </row>
    <row r="433" spans="3:4" x14ac:dyDescent="0.25">
      <c r="C433"/>
      <c r="D433"/>
    </row>
    <row r="434" spans="3:4" x14ac:dyDescent="0.25">
      <c r="C434"/>
      <c r="D434"/>
    </row>
    <row r="435" spans="3:4" x14ac:dyDescent="0.25">
      <c r="C435"/>
      <c r="D435"/>
    </row>
    <row r="436" spans="3:4" x14ac:dyDescent="0.25">
      <c r="C436"/>
      <c r="D436"/>
    </row>
    <row r="437" spans="3:4" x14ac:dyDescent="0.25">
      <c r="C437"/>
      <c r="D437"/>
    </row>
    <row r="438" spans="3:4" x14ac:dyDescent="0.25">
      <c r="C438"/>
      <c r="D438"/>
    </row>
    <row r="439" spans="3:4" x14ac:dyDescent="0.25">
      <c r="C439"/>
      <c r="D439"/>
    </row>
    <row r="440" spans="3:4" x14ac:dyDescent="0.25">
      <c r="C440"/>
      <c r="D440"/>
    </row>
    <row r="441" spans="3:4" x14ac:dyDescent="0.25">
      <c r="C441"/>
      <c r="D441"/>
    </row>
    <row r="442" spans="3:4" x14ac:dyDescent="0.25">
      <c r="C442"/>
      <c r="D442"/>
    </row>
    <row r="443" spans="3:4" x14ac:dyDescent="0.25">
      <c r="C443"/>
      <c r="D443"/>
    </row>
    <row r="444" spans="3:4" x14ac:dyDescent="0.25">
      <c r="C444"/>
      <c r="D444"/>
    </row>
    <row r="445" spans="3:4" x14ac:dyDescent="0.25">
      <c r="C445"/>
      <c r="D445"/>
    </row>
    <row r="446" spans="3:4" x14ac:dyDescent="0.25">
      <c r="C446"/>
      <c r="D446"/>
    </row>
    <row r="447" spans="3:4" x14ac:dyDescent="0.25">
      <c r="C447"/>
      <c r="D447"/>
    </row>
    <row r="448" spans="3:4" x14ac:dyDescent="0.25">
      <c r="C448"/>
      <c r="D448"/>
    </row>
    <row r="449" spans="3:4" x14ac:dyDescent="0.25">
      <c r="C449"/>
      <c r="D449"/>
    </row>
    <row r="450" spans="3:4" x14ac:dyDescent="0.25">
      <c r="C450"/>
      <c r="D450"/>
    </row>
    <row r="451" spans="3:4" x14ac:dyDescent="0.25">
      <c r="C451"/>
      <c r="D451"/>
    </row>
    <row r="452" spans="3:4" x14ac:dyDescent="0.25">
      <c r="C452"/>
      <c r="D452"/>
    </row>
    <row r="453" spans="3:4" x14ac:dyDescent="0.25">
      <c r="C453"/>
      <c r="D453"/>
    </row>
    <row r="454" spans="3:4" x14ac:dyDescent="0.25">
      <c r="C454"/>
      <c r="D454"/>
    </row>
    <row r="455" spans="3:4" x14ac:dyDescent="0.25">
      <c r="C455"/>
      <c r="D455"/>
    </row>
    <row r="456" spans="3:4" x14ac:dyDescent="0.25">
      <c r="C456"/>
      <c r="D456"/>
    </row>
    <row r="457" spans="3:4" x14ac:dyDescent="0.25">
      <c r="C457"/>
      <c r="D457"/>
    </row>
    <row r="458" spans="3:4" x14ac:dyDescent="0.25">
      <c r="C458"/>
      <c r="D458"/>
    </row>
    <row r="459" spans="3:4" x14ac:dyDescent="0.25">
      <c r="C459"/>
      <c r="D459"/>
    </row>
    <row r="460" spans="3:4" x14ac:dyDescent="0.25">
      <c r="C460"/>
      <c r="D460"/>
    </row>
    <row r="461" spans="3:4" x14ac:dyDescent="0.25">
      <c r="C461"/>
      <c r="D461"/>
    </row>
    <row r="462" spans="3:4" x14ac:dyDescent="0.25">
      <c r="C462"/>
      <c r="D462"/>
    </row>
    <row r="463" spans="3:4" x14ac:dyDescent="0.25">
      <c r="C463"/>
      <c r="D463"/>
    </row>
    <row r="464" spans="3:4" x14ac:dyDescent="0.25">
      <c r="C464"/>
      <c r="D464"/>
    </row>
    <row r="465" spans="3:4" x14ac:dyDescent="0.25">
      <c r="C465"/>
      <c r="D465"/>
    </row>
    <row r="466" spans="3:4" x14ac:dyDescent="0.25">
      <c r="C466"/>
      <c r="D466"/>
    </row>
    <row r="467" spans="3:4" x14ac:dyDescent="0.25">
      <c r="C467"/>
      <c r="D467"/>
    </row>
    <row r="468" spans="3:4" x14ac:dyDescent="0.25">
      <c r="C468"/>
      <c r="D468"/>
    </row>
    <row r="469" spans="3:4" x14ac:dyDescent="0.25">
      <c r="C469"/>
      <c r="D469"/>
    </row>
    <row r="470" spans="3:4" x14ac:dyDescent="0.25">
      <c r="C470"/>
      <c r="D470"/>
    </row>
    <row r="471" spans="3:4" x14ac:dyDescent="0.25">
      <c r="C471"/>
      <c r="D471"/>
    </row>
    <row r="472" spans="3:4" x14ac:dyDescent="0.25">
      <c r="C472"/>
      <c r="D472"/>
    </row>
    <row r="473" spans="3:4" x14ac:dyDescent="0.25">
      <c r="C473"/>
      <c r="D473"/>
    </row>
    <row r="474" spans="3:4" x14ac:dyDescent="0.25">
      <c r="C474"/>
      <c r="D474"/>
    </row>
    <row r="475" spans="3:4" x14ac:dyDescent="0.25">
      <c r="C475"/>
      <c r="D475"/>
    </row>
    <row r="476" spans="3:4" x14ac:dyDescent="0.25">
      <c r="C476"/>
      <c r="D476"/>
    </row>
    <row r="477" spans="3:4" x14ac:dyDescent="0.25">
      <c r="C477"/>
      <c r="D477"/>
    </row>
    <row r="478" spans="3:4" x14ac:dyDescent="0.25">
      <c r="C478"/>
      <c r="D478"/>
    </row>
    <row r="479" spans="3:4" x14ac:dyDescent="0.25">
      <c r="C479"/>
      <c r="D479"/>
    </row>
    <row r="480" spans="3:4" x14ac:dyDescent="0.25">
      <c r="C480"/>
      <c r="D480"/>
    </row>
    <row r="481" spans="3:4" x14ac:dyDescent="0.25">
      <c r="C481"/>
      <c r="D481"/>
    </row>
    <row r="482" spans="3:4" x14ac:dyDescent="0.25">
      <c r="C482"/>
      <c r="D482"/>
    </row>
    <row r="483" spans="3:4" x14ac:dyDescent="0.25">
      <c r="C483"/>
      <c r="D483"/>
    </row>
    <row r="484" spans="3:4" x14ac:dyDescent="0.25">
      <c r="C484"/>
      <c r="D484"/>
    </row>
    <row r="485" spans="3:4" x14ac:dyDescent="0.25">
      <c r="C485"/>
      <c r="D485"/>
    </row>
    <row r="486" spans="3:4" x14ac:dyDescent="0.25">
      <c r="C486"/>
      <c r="D486"/>
    </row>
    <row r="487" spans="3:4" x14ac:dyDescent="0.25">
      <c r="C487"/>
      <c r="D487"/>
    </row>
    <row r="488" spans="3:4" x14ac:dyDescent="0.25">
      <c r="C488"/>
      <c r="D488"/>
    </row>
    <row r="489" spans="3:4" x14ac:dyDescent="0.25">
      <c r="C489"/>
      <c r="D489"/>
    </row>
    <row r="490" spans="3:4" x14ac:dyDescent="0.25">
      <c r="C490"/>
      <c r="D490"/>
    </row>
    <row r="491" spans="3:4" x14ac:dyDescent="0.25">
      <c r="C491"/>
      <c r="D491"/>
    </row>
    <row r="492" spans="3:4" x14ac:dyDescent="0.25">
      <c r="C492"/>
      <c r="D492"/>
    </row>
    <row r="493" spans="3:4" x14ac:dyDescent="0.25">
      <c r="C493"/>
      <c r="D493"/>
    </row>
    <row r="494" spans="3:4" x14ac:dyDescent="0.25">
      <c r="C494"/>
      <c r="D494"/>
    </row>
    <row r="495" spans="3:4" x14ac:dyDescent="0.25">
      <c r="C495"/>
      <c r="D495"/>
    </row>
    <row r="496" spans="3:4" x14ac:dyDescent="0.25">
      <c r="C496"/>
      <c r="D496"/>
    </row>
    <row r="497" spans="3:4" x14ac:dyDescent="0.25">
      <c r="C497"/>
      <c r="D497"/>
    </row>
    <row r="498" spans="3:4" x14ac:dyDescent="0.25">
      <c r="C498"/>
      <c r="D498"/>
    </row>
    <row r="499" spans="3:4" x14ac:dyDescent="0.25">
      <c r="C499"/>
      <c r="D499"/>
    </row>
    <row r="500" spans="3:4" x14ac:dyDescent="0.25">
      <c r="C500"/>
      <c r="D500"/>
    </row>
    <row r="501" spans="3:4" x14ac:dyDescent="0.25">
      <c r="C501"/>
      <c r="D501"/>
    </row>
    <row r="502" spans="3:4" x14ac:dyDescent="0.25">
      <c r="C502"/>
      <c r="D502"/>
    </row>
    <row r="503" spans="3:4" x14ac:dyDescent="0.25">
      <c r="C503"/>
      <c r="D503"/>
    </row>
  </sheetData>
  <mergeCells count="1">
    <mergeCell ref="C1:D2"/>
  </mergeCells>
  <pageMargins left="0.7" right="0.7" top="0.75" bottom="0.75" header="0.3" footer="0.3"/>
  <pageSetup paperSize="9"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962"/>
  <sheetViews>
    <sheetView topLeftCell="A9" zoomScale="66" zoomScaleNormal="66" workbookViewId="0">
      <selection activeCell="C1" sqref="C1:D35"/>
    </sheetView>
  </sheetViews>
  <sheetFormatPr baseColWidth="10" defaultColWidth="11.42578125" defaultRowHeight="15" x14ac:dyDescent="0.25"/>
  <cols>
    <col min="1" max="1" width="35.42578125" style="1" bestFit="1" customWidth="1"/>
    <col min="2" max="2" width="27.85546875" style="1" bestFit="1" customWidth="1"/>
    <col min="3" max="3" width="35.42578125" style="1" bestFit="1" customWidth="1"/>
    <col min="4" max="4" width="27.85546875" style="1" bestFit="1" customWidth="1"/>
    <col min="5" max="5" width="7.7109375" style="1" customWidth="1"/>
    <col min="6" max="6" width="16.42578125" style="1" customWidth="1"/>
    <col min="7" max="8" width="11.42578125" style="1"/>
    <col min="9" max="9" width="13.28515625" style="1" customWidth="1"/>
    <col min="10" max="29" width="11.42578125" style="1"/>
  </cols>
  <sheetData>
    <row r="1" spans="1:29" s="119" customFormat="1" x14ac:dyDescent="0.25">
      <c r="A1" s="216">
        <v>2020</v>
      </c>
      <c r="B1" s="217"/>
      <c r="C1" s="216">
        <v>2021</v>
      </c>
      <c r="D1" s="217"/>
      <c r="E1" s="2"/>
      <c r="F1" s="2"/>
      <c r="G1" s="2"/>
      <c r="H1" s="2"/>
      <c r="I1" s="2"/>
      <c r="J1" s="2"/>
      <c r="K1" s="2"/>
      <c r="L1" s="2"/>
      <c r="M1" s="2"/>
      <c r="N1" s="2"/>
      <c r="O1" s="2"/>
      <c r="P1" s="2"/>
      <c r="Q1" s="2"/>
      <c r="R1" s="2"/>
      <c r="S1" s="2"/>
      <c r="T1" s="2"/>
      <c r="U1" s="2"/>
      <c r="V1" s="2"/>
      <c r="W1" s="2"/>
      <c r="X1" s="2"/>
      <c r="Y1" s="2"/>
      <c r="Z1" s="2"/>
      <c r="AA1" s="2"/>
      <c r="AB1" s="2"/>
      <c r="AC1" s="2"/>
    </row>
    <row r="2" spans="1:29" s="119" customFormat="1" ht="15.75" thickBot="1" x14ac:dyDescent="0.3">
      <c r="A2" s="218"/>
      <c r="B2" s="219"/>
      <c r="C2" s="218"/>
      <c r="D2" s="219"/>
      <c r="E2" s="2"/>
      <c r="F2" s="2"/>
      <c r="G2" s="2"/>
      <c r="H2" s="2"/>
      <c r="I2" s="2"/>
      <c r="J2" s="2"/>
      <c r="K2" s="2"/>
      <c r="L2" s="2"/>
      <c r="M2" s="2"/>
      <c r="N2" s="2"/>
      <c r="O2" s="2"/>
      <c r="P2" s="2"/>
      <c r="Q2" s="2"/>
      <c r="R2" s="2"/>
      <c r="S2" s="2"/>
      <c r="T2" s="2"/>
      <c r="U2" s="2"/>
      <c r="V2" s="2"/>
      <c r="W2" s="2"/>
      <c r="X2" s="2"/>
      <c r="Y2" s="2"/>
      <c r="Z2" s="2"/>
      <c r="AA2" s="2"/>
      <c r="AB2" s="2"/>
      <c r="AC2" s="2"/>
    </row>
    <row r="3" spans="1:29" ht="15.75" thickBot="1" x14ac:dyDescent="0.3">
      <c r="A3" s="1" t="s">
        <v>1932</v>
      </c>
      <c r="B3" s="1" t="s">
        <v>1934</v>
      </c>
      <c r="C3" s="1" t="s">
        <v>1932</v>
      </c>
      <c r="D3" s="1" t="s">
        <v>1934</v>
      </c>
      <c r="E3" s="66"/>
      <c r="F3" s="66"/>
      <c r="G3" s="70" t="s">
        <v>1936</v>
      </c>
      <c r="H3" s="71" t="s">
        <v>1937</v>
      </c>
      <c r="I3" s="72" t="s">
        <v>1938</v>
      </c>
      <c r="J3" s="66"/>
      <c r="K3" s="66"/>
      <c r="L3" s="66"/>
      <c r="M3" s="66"/>
      <c r="N3" s="66"/>
      <c r="O3" s="66"/>
      <c r="P3" s="66"/>
      <c r="Q3" s="66"/>
      <c r="R3" s="66"/>
      <c r="S3" s="66"/>
      <c r="T3" s="66"/>
      <c r="U3" s="66"/>
      <c r="V3" s="66"/>
      <c r="W3" s="66"/>
      <c r="X3" s="66"/>
      <c r="Y3" s="66"/>
      <c r="Z3" s="66"/>
      <c r="AA3" s="66"/>
      <c r="AB3" s="66"/>
      <c r="AC3" s="66"/>
    </row>
    <row r="4" spans="1:29" ht="15.75" thickBot="1" x14ac:dyDescent="0.3">
      <c r="A4" s="3" t="s">
        <v>1038</v>
      </c>
      <c r="B4" s="1">
        <v>47</v>
      </c>
      <c r="C4" s="139" t="s">
        <v>1038</v>
      </c>
      <c r="D4">
        <v>52</v>
      </c>
      <c r="F4" s="39" t="str">
        <f>+A4</f>
        <v>SOCIAL</v>
      </c>
      <c r="G4" s="46">
        <f>+GETPIVOTDATA("SUBCLASIFICACION",$C$3,"CLASIFICACION","SOCIAL")</f>
        <v>52</v>
      </c>
      <c r="H4" s="57">
        <f t="shared" ref="H4:H10" si="0">+G4/$G$11</f>
        <v>0.29378531073446329</v>
      </c>
      <c r="I4" s="58">
        <f>+H4</f>
        <v>0.29378531073446329</v>
      </c>
    </row>
    <row r="5" spans="1:29" ht="15.75" thickBot="1" x14ac:dyDescent="0.3">
      <c r="A5" s="4" t="s">
        <v>1046</v>
      </c>
      <c r="B5" s="1">
        <v>16</v>
      </c>
      <c r="C5" s="133" t="s">
        <v>1051</v>
      </c>
      <c r="D5">
        <v>16</v>
      </c>
      <c r="F5" s="40" t="str">
        <f>+A10</f>
        <v xml:space="preserve">LEGAL </v>
      </c>
      <c r="G5" s="33">
        <f>+GETPIVOTDATA("SUBCLASIFICACION",$C$3,"CLASIFICACION","LEGAL ")</f>
        <v>43</v>
      </c>
      <c r="H5" s="57">
        <f t="shared" si="0"/>
        <v>0.24293785310734464</v>
      </c>
      <c r="I5" s="59">
        <f t="shared" ref="I5:I10" si="1">+I4+H5</f>
        <v>0.53672316384180796</v>
      </c>
    </row>
    <row r="6" spans="1:29" ht="15.75" thickBot="1" x14ac:dyDescent="0.3">
      <c r="A6" s="4" t="s">
        <v>1051</v>
      </c>
      <c r="B6" s="1">
        <v>15</v>
      </c>
      <c r="C6" s="133" t="s">
        <v>1046</v>
      </c>
      <c r="D6">
        <v>16</v>
      </c>
      <c r="F6" s="40" t="str">
        <f>+C16</f>
        <v>SEGURIDAD DE LA INFORMACION</v>
      </c>
      <c r="G6" s="33">
        <f>+GETPIVOTDATA("SUBCLASIFICACION",$C$3,"CLASIFICACION","TECNOLÓGICO")</f>
        <v>23</v>
      </c>
      <c r="H6" s="57">
        <f t="shared" si="0"/>
        <v>0.12994350282485875</v>
      </c>
      <c r="I6" s="59">
        <f t="shared" si="1"/>
        <v>0.66666666666666674</v>
      </c>
    </row>
    <row r="7" spans="1:29" ht="15.75" thickBot="1" x14ac:dyDescent="0.3">
      <c r="A7" s="4" t="s">
        <v>1124</v>
      </c>
      <c r="B7" s="1">
        <v>3</v>
      </c>
      <c r="C7" s="133" t="s">
        <v>1039</v>
      </c>
      <c r="D7">
        <v>15</v>
      </c>
      <c r="F7" s="40" t="str">
        <f>+C20</f>
        <v xml:space="preserve">CLIMA </v>
      </c>
      <c r="G7" s="33">
        <f>+GETPIVOTDATA("SUBCLASIFICACION",$C$3,"CLASIFICACION","AMBIENTAL")</f>
        <v>23</v>
      </c>
      <c r="H7" s="57">
        <f t="shared" si="0"/>
        <v>0.12994350282485875</v>
      </c>
      <c r="I7" s="59">
        <f t="shared" si="1"/>
        <v>0.79661016949152552</v>
      </c>
    </row>
    <row r="8" spans="1:29" ht="15.75" thickBot="1" x14ac:dyDescent="0.3">
      <c r="A8" s="4" t="s">
        <v>1039</v>
      </c>
      <c r="B8" s="1">
        <v>12</v>
      </c>
      <c r="C8" s="133" t="s">
        <v>1124</v>
      </c>
      <c r="D8">
        <v>5</v>
      </c>
      <c r="F8" s="40" t="str">
        <f>+C23</f>
        <v>POLITICAS</v>
      </c>
      <c r="G8" s="33">
        <f>+GETPIVOTDATA("SUBCLASIFICACION",$C$3,"CLASIFICACION","POLÍTICO")</f>
        <v>15</v>
      </c>
      <c r="H8" s="57">
        <f t="shared" si="0"/>
        <v>8.4745762711864403E-2</v>
      </c>
      <c r="I8" s="59">
        <f t="shared" si="1"/>
        <v>0.88135593220338992</v>
      </c>
    </row>
    <row r="9" spans="1:29" ht="15.75" thickBot="1" x14ac:dyDescent="0.3">
      <c r="A9" s="4" t="s">
        <v>1307</v>
      </c>
      <c r="B9" s="1">
        <v>1</v>
      </c>
      <c r="C9" s="139" t="s">
        <v>1021</v>
      </c>
      <c r="D9">
        <v>43</v>
      </c>
      <c r="F9" s="40" t="str">
        <f>+C30</f>
        <v xml:space="preserve">INVERSIÓN </v>
      </c>
      <c r="G9" s="33">
        <f>+GETPIVOTDATA("SUBCLASIFICACION",$C$3,"CLASIFICACION","ECONÓMICO ")</f>
        <v>11</v>
      </c>
      <c r="H9" s="57">
        <f t="shared" si="0"/>
        <v>6.2146892655367235E-2</v>
      </c>
      <c r="I9" s="59">
        <f t="shared" si="1"/>
        <v>0.94350282485875714</v>
      </c>
    </row>
    <row r="10" spans="1:29" x14ac:dyDescent="0.25">
      <c r="A10" s="3" t="s">
        <v>1021</v>
      </c>
      <c r="B10" s="1">
        <v>43</v>
      </c>
      <c r="C10" s="133" t="s">
        <v>70</v>
      </c>
      <c r="D10">
        <v>19</v>
      </c>
      <c r="F10" s="62" t="str">
        <f>+C34</f>
        <v>OFERTA</v>
      </c>
      <c r="G10" s="63">
        <f>+GETPIVOTDATA("SUBCLASIFICACION",$C$3,"CLASIFICACION","MERCADO")</f>
        <v>10</v>
      </c>
      <c r="H10" s="57">
        <f t="shared" si="0"/>
        <v>5.6497175141242938E-2</v>
      </c>
      <c r="I10" s="59">
        <f t="shared" si="1"/>
        <v>1</v>
      </c>
    </row>
    <row r="11" spans="1:29" ht="15.75" thickBot="1" x14ac:dyDescent="0.3">
      <c r="A11" s="4" t="s">
        <v>70</v>
      </c>
      <c r="B11" s="1">
        <v>19</v>
      </c>
      <c r="C11" s="133" t="s">
        <v>1910</v>
      </c>
      <c r="D11">
        <v>13</v>
      </c>
      <c r="F11" s="1" t="s">
        <v>1939</v>
      </c>
      <c r="G11" s="45">
        <f>SUM(G4:G10)</f>
        <v>177</v>
      </c>
    </row>
    <row r="12" spans="1:29" x14ac:dyDescent="0.25">
      <c r="A12" s="4" t="s">
        <v>1050</v>
      </c>
      <c r="B12" s="1">
        <v>8</v>
      </c>
      <c r="C12" s="133" t="s">
        <v>1050</v>
      </c>
      <c r="D12">
        <v>7</v>
      </c>
    </row>
    <row r="13" spans="1:29" x14ac:dyDescent="0.25">
      <c r="A13" s="4" t="s">
        <v>1237</v>
      </c>
      <c r="B13" s="1">
        <v>2</v>
      </c>
      <c r="C13" s="133" t="s">
        <v>1237</v>
      </c>
      <c r="D13">
        <v>3</v>
      </c>
    </row>
    <row r="14" spans="1:29" x14ac:dyDescent="0.25">
      <c r="A14" s="4" t="s">
        <v>1910</v>
      </c>
      <c r="B14" s="1">
        <v>13</v>
      </c>
      <c r="C14" s="133" t="s">
        <v>1026</v>
      </c>
      <c r="D14">
        <v>1</v>
      </c>
    </row>
    <row r="15" spans="1:29" x14ac:dyDescent="0.25">
      <c r="A15" s="4" t="s">
        <v>1026</v>
      </c>
      <c r="B15" s="1">
        <v>1</v>
      </c>
      <c r="C15" s="139" t="s">
        <v>1061</v>
      </c>
      <c r="D15">
        <v>23</v>
      </c>
    </row>
    <row r="16" spans="1:29" x14ac:dyDescent="0.25">
      <c r="A16" s="3" t="s">
        <v>1661</v>
      </c>
      <c r="B16" s="1">
        <v>21</v>
      </c>
      <c r="C16" s="133" t="s">
        <v>1912</v>
      </c>
      <c r="D16">
        <v>14</v>
      </c>
    </row>
    <row r="17" spans="1:4" x14ac:dyDescent="0.25">
      <c r="A17" s="4" t="s">
        <v>1025</v>
      </c>
      <c r="B17" s="1">
        <v>7</v>
      </c>
      <c r="C17" s="133" t="s">
        <v>1062</v>
      </c>
      <c r="D17">
        <v>8</v>
      </c>
    </row>
    <row r="18" spans="1:4" x14ac:dyDescent="0.25">
      <c r="A18" s="4" t="s">
        <v>1649</v>
      </c>
      <c r="B18" s="1">
        <v>3</v>
      </c>
      <c r="C18" s="133" t="s">
        <v>1123</v>
      </c>
      <c r="D18">
        <v>1</v>
      </c>
    </row>
    <row r="19" spans="1:4" x14ac:dyDescent="0.25">
      <c r="A19" s="4" t="s">
        <v>1050</v>
      </c>
      <c r="B19" s="1">
        <v>1</v>
      </c>
      <c r="C19" s="139" t="s">
        <v>1034</v>
      </c>
      <c r="D19">
        <v>23</v>
      </c>
    </row>
    <row r="20" spans="1:4" x14ac:dyDescent="0.25">
      <c r="A20" s="4" t="s">
        <v>1910</v>
      </c>
      <c r="B20" s="1">
        <v>1</v>
      </c>
      <c r="C20" s="133" t="s">
        <v>1035</v>
      </c>
      <c r="D20">
        <v>14</v>
      </c>
    </row>
    <row r="21" spans="1:4" x14ac:dyDescent="0.25">
      <c r="A21" s="4" t="s">
        <v>1911</v>
      </c>
      <c r="B21" s="1">
        <v>4</v>
      </c>
      <c r="C21" s="133" t="s">
        <v>1700</v>
      </c>
      <c r="D21">
        <v>9</v>
      </c>
    </row>
    <row r="22" spans="1:4" x14ac:dyDescent="0.25">
      <c r="A22" s="4" t="s">
        <v>487</v>
      </c>
      <c r="B22" s="1">
        <v>5</v>
      </c>
      <c r="C22" s="139" t="s">
        <v>1024</v>
      </c>
      <c r="D22">
        <v>15</v>
      </c>
    </row>
    <row r="23" spans="1:4" x14ac:dyDescent="0.25">
      <c r="A23" s="3" t="s">
        <v>1034</v>
      </c>
      <c r="B23" s="1">
        <v>21</v>
      </c>
      <c r="C23" s="133" t="s">
        <v>1911</v>
      </c>
      <c r="D23">
        <v>5</v>
      </c>
    </row>
    <row r="24" spans="1:4" x14ac:dyDescent="0.25">
      <c r="A24" s="4" t="s">
        <v>1035</v>
      </c>
      <c r="B24" s="1">
        <v>14</v>
      </c>
      <c r="C24" s="133" t="s">
        <v>172</v>
      </c>
      <c r="D24">
        <v>5</v>
      </c>
    </row>
    <row r="25" spans="1:4" x14ac:dyDescent="0.25">
      <c r="A25" s="4" t="s">
        <v>1700</v>
      </c>
      <c r="B25" s="1">
        <v>7</v>
      </c>
      <c r="C25" s="133" t="s">
        <v>487</v>
      </c>
      <c r="D25">
        <v>4</v>
      </c>
    </row>
    <row r="26" spans="1:4" x14ac:dyDescent="0.25">
      <c r="A26" s="3" t="s">
        <v>1941</v>
      </c>
      <c r="B26" s="1">
        <v>14</v>
      </c>
      <c r="C26" s="133" t="s">
        <v>1025</v>
      </c>
      <c r="D26">
        <v>1</v>
      </c>
    </row>
    <row r="27" spans="1:4" x14ac:dyDescent="0.25">
      <c r="A27" s="4" t="s">
        <v>43</v>
      </c>
      <c r="B27" s="1">
        <v>11</v>
      </c>
      <c r="C27" s="139" t="s">
        <v>1041</v>
      </c>
      <c r="D27">
        <v>11</v>
      </c>
    </row>
    <row r="28" spans="1:4" x14ac:dyDescent="0.25">
      <c r="A28" s="4" t="s">
        <v>1942</v>
      </c>
      <c r="B28" s="1">
        <v>1</v>
      </c>
      <c r="C28" s="133" t="s">
        <v>43</v>
      </c>
      <c r="D28">
        <v>8</v>
      </c>
    </row>
    <row r="29" spans="1:4" x14ac:dyDescent="0.25">
      <c r="A29" s="4" t="s">
        <v>1191</v>
      </c>
      <c r="B29" s="1">
        <v>2</v>
      </c>
      <c r="C29" s="133" t="s">
        <v>1191</v>
      </c>
      <c r="D29">
        <v>2</v>
      </c>
    </row>
    <row r="30" spans="1:4" x14ac:dyDescent="0.25">
      <c r="A30" s="3" t="s">
        <v>1943</v>
      </c>
      <c r="B30" s="1">
        <v>14</v>
      </c>
      <c r="C30" s="133" t="s">
        <v>1042</v>
      </c>
      <c r="D30">
        <v>1</v>
      </c>
    </row>
    <row r="31" spans="1:4" x14ac:dyDescent="0.25">
      <c r="A31" s="4" t="s">
        <v>1912</v>
      </c>
      <c r="B31" s="1">
        <v>8</v>
      </c>
      <c r="C31" s="139" t="s">
        <v>1022</v>
      </c>
      <c r="D31">
        <v>10</v>
      </c>
    </row>
    <row r="32" spans="1:4" x14ac:dyDescent="0.25">
      <c r="A32" s="4" t="s">
        <v>1062</v>
      </c>
      <c r="B32" s="1">
        <v>4</v>
      </c>
      <c r="C32" s="133" t="s">
        <v>10</v>
      </c>
      <c r="D32">
        <v>5</v>
      </c>
    </row>
    <row r="33" spans="1:4" x14ac:dyDescent="0.25">
      <c r="A33" s="4" t="s">
        <v>1123</v>
      </c>
      <c r="B33" s="1">
        <v>1</v>
      </c>
      <c r="C33" s="133" t="s">
        <v>1023</v>
      </c>
      <c r="D33">
        <v>4</v>
      </c>
    </row>
    <row r="34" spans="1:4" x14ac:dyDescent="0.25">
      <c r="A34" s="4" t="s">
        <v>1081</v>
      </c>
      <c r="B34" s="1">
        <v>1</v>
      </c>
      <c r="C34" s="133" t="s">
        <v>1072</v>
      </c>
      <c r="D34">
        <v>1</v>
      </c>
    </row>
    <row r="35" spans="1:4" x14ac:dyDescent="0.25">
      <c r="A35" s="3" t="s">
        <v>1022</v>
      </c>
      <c r="B35" s="1">
        <v>12</v>
      </c>
      <c r="C35" s="139" t="s">
        <v>1940</v>
      </c>
      <c r="D35">
        <v>177</v>
      </c>
    </row>
    <row r="36" spans="1:4" x14ac:dyDescent="0.25">
      <c r="A36" s="4" t="s">
        <v>1173</v>
      </c>
      <c r="B36" s="1">
        <v>6</v>
      </c>
      <c r="C36"/>
      <c r="D36"/>
    </row>
    <row r="37" spans="1:4" x14ac:dyDescent="0.25">
      <c r="A37" s="4" t="s">
        <v>1072</v>
      </c>
      <c r="B37" s="1">
        <v>1</v>
      </c>
      <c r="C37"/>
      <c r="D37"/>
    </row>
    <row r="38" spans="1:4" x14ac:dyDescent="0.25">
      <c r="A38" s="4" t="s">
        <v>1023</v>
      </c>
      <c r="B38" s="1">
        <v>5</v>
      </c>
      <c r="C38"/>
      <c r="D38"/>
    </row>
    <row r="39" spans="1:4" x14ac:dyDescent="0.25">
      <c r="A39" s="3" t="s">
        <v>1940</v>
      </c>
      <c r="B39" s="1">
        <v>172</v>
      </c>
      <c r="C39"/>
      <c r="D39"/>
    </row>
    <row r="40" spans="1:4" x14ac:dyDescent="0.25">
      <c r="A40"/>
      <c r="B40"/>
      <c r="C40"/>
      <c r="D40"/>
    </row>
    <row r="41" spans="1:4" x14ac:dyDescent="0.25">
      <c r="A41"/>
      <c r="B41"/>
      <c r="C41"/>
      <c r="D41"/>
    </row>
    <row r="42" spans="1:4" x14ac:dyDescent="0.25">
      <c r="A42"/>
      <c r="B42"/>
      <c r="C42"/>
      <c r="D42"/>
    </row>
    <row r="43" spans="1:4" x14ac:dyDescent="0.25">
      <c r="A43"/>
      <c r="B43"/>
      <c r="C43"/>
      <c r="D43"/>
    </row>
    <row r="44" spans="1:4" x14ac:dyDescent="0.25">
      <c r="A44"/>
      <c r="B44"/>
      <c r="C44"/>
      <c r="D44"/>
    </row>
    <row r="45" spans="1:4" x14ac:dyDescent="0.25">
      <c r="A45"/>
      <c r="B45"/>
      <c r="C45"/>
      <c r="D45"/>
    </row>
    <row r="46" spans="1:4" x14ac:dyDescent="0.25">
      <c r="A46"/>
      <c r="B46"/>
      <c r="C46"/>
      <c r="D46"/>
    </row>
    <row r="47" spans="1:4" x14ac:dyDescent="0.25">
      <c r="A47"/>
      <c r="B47"/>
      <c r="C47"/>
      <c r="D47"/>
    </row>
    <row r="48" spans="1:4" x14ac:dyDescent="0.25">
      <c r="A48"/>
      <c r="B48"/>
      <c r="C48"/>
      <c r="D48"/>
    </row>
    <row r="49" spans="1:4" x14ac:dyDescent="0.25">
      <c r="A49"/>
      <c r="B49"/>
      <c r="C49"/>
      <c r="D49"/>
    </row>
    <row r="50" spans="1:4" x14ac:dyDescent="0.25">
      <c r="A50"/>
      <c r="B50"/>
      <c r="C50"/>
      <c r="D50"/>
    </row>
    <row r="51" spans="1:4" x14ac:dyDescent="0.25">
      <c r="A51"/>
      <c r="B51"/>
      <c r="C51"/>
      <c r="D51"/>
    </row>
    <row r="52" spans="1:4" x14ac:dyDescent="0.25">
      <c r="A52"/>
      <c r="B52"/>
      <c r="C52"/>
      <c r="D52"/>
    </row>
    <row r="53" spans="1:4" x14ac:dyDescent="0.25">
      <c r="A53"/>
      <c r="B53"/>
      <c r="C53"/>
      <c r="D53"/>
    </row>
    <row r="54" spans="1:4" x14ac:dyDescent="0.25">
      <c r="A54"/>
      <c r="B54"/>
      <c r="C54"/>
      <c r="D54"/>
    </row>
    <row r="55" spans="1:4" x14ac:dyDescent="0.25">
      <c r="A55"/>
      <c r="B55"/>
      <c r="C55"/>
      <c r="D55"/>
    </row>
    <row r="56" spans="1:4" x14ac:dyDescent="0.25">
      <c r="A56"/>
      <c r="B56"/>
      <c r="C56"/>
      <c r="D56"/>
    </row>
    <row r="57" spans="1:4" x14ac:dyDescent="0.25">
      <c r="A57"/>
      <c r="B57"/>
      <c r="C57"/>
      <c r="D57"/>
    </row>
    <row r="58" spans="1:4" x14ac:dyDescent="0.25">
      <c r="A58"/>
      <c r="B58"/>
      <c r="C58"/>
      <c r="D58"/>
    </row>
    <row r="59" spans="1:4" x14ac:dyDescent="0.25">
      <c r="A59"/>
      <c r="B59"/>
      <c r="C59"/>
      <c r="D59"/>
    </row>
    <row r="60" spans="1:4" x14ac:dyDescent="0.25">
      <c r="A60"/>
      <c r="B60"/>
      <c r="C60"/>
      <c r="D60"/>
    </row>
    <row r="61" spans="1:4" x14ac:dyDescent="0.25">
      <c r="A61"/>
      <c r="B61"/>
      <c r="C61"/>
      <c r="D61"/>
    </row>
    <row r="62" spans="1:4" x14ac:dyDescent="0.25">
      <c r="A62"/>
      <c r="B62"/>
      <c r="C62"/>
      <c r="D62"/>
    </row>
    <row r="63" spans="1:4" x14ac:dyDescent="0.25">
      <c r="A63"/>
      <c r="B63"/>
      <c r="C63"/>
      <c r="D63"/>
    </row>
    <row r="64" spans="1:4" x14ac:dyDescent="0.25">
      <c r="A64"/>
      <c r="B64"/>
      <c r="C64"/>
      <c r="D64"/>
    </row>
    <row r="65" spans="1:4" x14ac:dyDescent="0.25">
      <c r="A65"/>
      <c r="B65"/>
      <c r="C65"/>
      <c r="D65"/>
    </row>
    <row r="66" spans="1:4" x14ac:dyDescent="0.25">
      <c r="A66"/>
      <c r="B66"/>
      <c r="C66"/>
      <c r="D66"/>
    </row>
    <row r="67" spans="1:4" x14ac:dyDescent="0.25">
      <c r="A67"/>
      <c r="B67"/>
      <c r="C67"/>
      <c r="D67"/>
    </row>
    <row r="68" spans="1:4" x14ac:dyDescent="0.25">
      <c r="A68"/>
      <c r="B68"/>
      <c r="C68"/>
      <c r="D68"/>
    </row>
    <row r="69" spans="1:4" x14ac:dyDescent="0.25">
      <c r="A69"/>
      <c r="B69"/>
      <c r="C69"/>
      <c r="D69"/>
    </row>
    <row r="70" spans="1:4" x14ac:dyDescent="0.25">
      <c r="A70"/>
      <c r="B70"/>
      <c r="C70"/>
      <c r="D70"/>
    </row>
    <row r="71" spans="1:4" x14ac:dyDescent="0.25">
      <c r="A71"/>
      <c r="B71"/>
      <c r="C71"/>
      <c r="D71"/>
    </row>
    <row r="72" spans="1:4" x14ac:dyDescent="0.25">
      <c r="A72"/>
      <c r="B72"/>
      <c r="C72"/>
      <c r="D72"/>
    </row>
    <row r="73" spans="1:4" x14ac:dyDescent="0.25">
      <c r="A73"/>
      <c r="B73"/>
      <c r="C73"/>
      <c r="D73"/>
    </row>
    <row r="74" spans="1:4" x14ac:dyDescent="0.25">
      <c r="A74"/>
      <c r="B74"/>
      <c r="C74"/>
      <c r="D74"/>
    </row>
    <row r="75" spans="1:4" x14ac:dyDescent="0.25">
      <c r="A75"/>
      <c r="B75"/>
      <c r="C75"/>
      <c r="D75"/>
    </row>
    <row r="76" spans="1:4" x14ac:dyDescent="0.25">
      <c r="A76"/>
      <c r="B76"/>
      <c r="C76"/>
      <c r="D76"/>
    </row>
    <row r="77" spans="1:4" x14ac:dyDescent="0.25">
      <c r="A77"/>
      <c r="B77"/>
      <c r="C77"/>
      <c r="D77"/>
    </row>
    <row r="78" spans="1:4" x14ac:dyDescent="0.25">
      <c r="A78"/>
      <c r="B78"/>
      <c r="C78"/>
      <c r="D78"/>
    </row>
    <row r="79" spans="1:4" x14ac:dyDescent="0.25">
      <c r="A79"/>
      <c r="B79"/>
      <c r="C79"/>
      <c r="D79"/>
    </row>
    <row r="80" spans="1:4" x14ac:dyDescent="0.25">
      <c r="A80"/>
      <c r="B80"/>
      <c r="C80"/>
      <c r="D80"/>
    </row>
    <row r="81" spans="1:4" x14ac:dyDescent="0.25">
      <c r="A81"/>
      <c r="B81"/>
      <c r="C81"/>
      <c r="D81"/>
    </row>
    <row r="82" spans="1:4" x14ac:dyDescent="0.25">
      <c r="A82"/>
      <c r="B82"/>
      <c r="C82"/>
      <c r="D82"/>
    </row>
    <row r="83" spans="1:4" x14ac:dyDescent="0.25">
      <c r="A83"/>
      <c r="B83"/>
      <c r="C83"/>
      <c r="D83"/>
    </row>
    <row r="84" spans="1:4" x14ac:dyDescent="0.25">
      <c r="A84"/>
      <c r="B84"/>
      <c r="C84"/>
      <c r="D84"/>
    </row>
    <row r="85" spans="1:4" x14ac:dyDescent="0.25">
      <c r="A85"/>
      <c r="B85"/>
      <c r="C85"/>
      <c r="D85"/>
    </row>
    <row r="86" spans="1:4" x14ac:dyDescent="0.25">
      <c r="A86"/>
      <c r="B86"/>
      <c r="C86"/>
      <c r="D86"/>
    </row>
    <row r="87" spans="1:4" x14ac:dyDescent="0.25">
      <c r="A87"/>
      <c r="B87"/>
      <c r="C87"/>
      <c r="D87"/>
    </row>
    <row r="88" spans="1:4" x14ac:dyDescent="0.25">
      <c r="A88"/>
      <c r="B88"/>
      <c r="C88"/>
      <c r="D88"/>
    </row>
    <row r="89" spans="1:4" x14ac:dyDescent="0.25">
      <c r="A89"/>
      <c r="B89"/>
      <c r="C89"/>
      <c r="D89"/>
    </row>
    <row r="90" spans="1:4" x14ac:dyDescent="0.25">
      <c r="A90"/>
      <c r="B90"/>
      <c r="C90"/>
      <c r="D90"/>
    </row>
    <row r="91" spans="1:4" x14ac:dyDescent="0.25">
      <c r="A91"/>
      <c r="B91"/>
      <c r="C91"/>
      <c r="D91"/>
    </row>
    <row r="92" spans="1:4" x14ac:dyDescent="0.25">
      <c r="A92"/>
      <c r="B92"/>
      <c r="C92"/>
      <c r="D92"/>
    </row>
    <row r="93" spans="1:4" x14ac:dyDescent="0.25">
      <c r="A93"/>
      <c r="B93"/>
      <c r="C93"/>
      <c r="D93"/>
    </row>
    <row r="94" spans="1:4" x14ac:dyDescent="0.25">
      <c r="A94"/>
      <c r="B94"/>
      <c r="C94"/>
      <c r="D94"/>
    </row>
    <row r="95" spans="1:4" x14ac:dyDescent="0.25">
      <c r="A95"/>
      <c r="B95"/>
      <c r="C95"/>
      <c r="D95"/>
    </row>
    <row r="96" spans="1:4" x14ac:dyDescent="0.25">
      <c r="A96"/>
      <c r="B96"/>
      <c r="C96"/>
      <c r="D96"/>
    </row>
    <row r="97" spans="1:4" x14ac:dyDescent="0.25">
      <c r="A97"/>
      <c r="B97"/>
      <c r="C97"/>
      <c r="D97"/>
    </row>
    <row r="98" spans="1:4" x14ac:dyDescent="0.25">
      <c r="A98"/>
      <c r="B98"/>
      <c r="C98"/>
      <c r="D98"/>
    </row>
    <row r="99" spans="1:4" x14ac:dyDescent="0.25">
      <c r="A99"/>
      <c r="B99"/>
      <c r="C99"/>
      <c r="D99"/>
    </row>
    <row r="100" spans="1:4" x14ac:dyDescent="0.25">
      <c r="A100"/>
      <c r="B100"/>
      <c r="C100"/>
      <c r="D100"/>
    </row>
    <row r="101" spans="1:4" x14ac:dyDescent="0.25">
      <c r="A101"/>
      <c r="B101"/>
      <c r="C101"/>
      <c r="D101"/>
    </row>
    <row r="102" spans="1:4" x14ac:dyDescent="0.25">
      <c r="A102"/>
      <c r="B102"/>
      <c r="C102"/>
      <c r="D102"/>
    </row>
    <row r="103" spans="1:4" x14ac:dyDescent="0.25">
      <c r="A103"/>
      <c r="B103"/>
      <c r="C103"/>
      <c r="D103"/>
    </row>
    <row r="104" spans="1:4" x14ac:dyDescent="0.25">
      <c r="A104"/>
      <c r="B104"/>
      <c r="C104"/>
      <c r="D104"/>
    </row>
    <row r="105" spans="1:4" x14ac:dyDescent="0.25">
      <c r="A105"/>
      <c r="B105"/>
      <c r="C105"/>
      <c r="D105"/>
    </row>
    <row r="106" spans="1:4" x14ac:dyDescent="0.25">
      <c r="A106"/>
      <c r="B106"/>
      <c r="C106"/>
      <c r="D106"/>
    </row>
    <row r="107" spans="1:4" x14ac:dyDescent="0.25">
      <c r="A107"/>
      <c r="B107"/>
      <c r="C107"/>
      <c r="D107"/>
    </row>
    <row r="108" spans="1:4" x14ac:dyDescent="0.25">
      <c r="A108"/>
      <c r="B108"/>
      <c r="C108"/>
      <c r="D108"/>
    </row>
    <row r="109" spans="1:4" x14ac:dyDescent="0.25">
      <c r="A109"/>
      <c r="B109"/>
      <c r="C109"/>
      <c r="D109"/>
    </row>
    <row r="110" spans="1:4" x14ac:dyDescent="0.25">
      <c r="A110"/>
      <c r="B110"/>
      <c r="C110"/>
      <c r="D110"/>
    </row>
    <row r="111" spans="1:4" x14ac:dyDescent="0.25">
      <c r="A111"/>
      <c r="B111"/>
      <c r="C111"/>
      <c r="D111"/>
    </row>
    <row r="112" spans="1:4" x14ac:dyDescent="0.25">
      <c r="A112"/>
      <c r="B112"/>
      <c r="C112"/>
      <c r="D112"/>
    </row>
    <row r="113" spans="1:4" x14ac:dyDescent="0.25">
      <c r="A113"/>
      <c r="B113"/>
      <c r="C113"/>
      <c r="D113"/>
    </row>
    <row r="114" spans="1:4" x14ac:dyDescent="0.25">
      <c r="A114"/>
      <c r="B114"/>
      <c r="C114"/>
      <c r="D114"/>
    </row>
    <row r="115" spans="1:4" x14ac:dyDescent="0.25">
      <c r="A115"/>
      <c r="B115"/>
      <c r="C115"/>
      <c r="D115"/>
    </row>
    <row r="116" spans="1:4" x14ac:dyDescent="0.25">
      <c r="A116"/>
      <c r="B116"/>
      <c r="C116"/>
      <c r="D116"/>
    </row>
    <row r="117" spans="1:4" x14ac:dyDescent="0.25">
      <c r="A117"/>
      <c r="B117"/>
      <c r="C117"/>
      <c r="D117"/>
    </row>
    <row r="118" spans="1:4" x14ac:dyDescent="0.25">
      <c r="A118"/>
      <c r="B118"/>
      <c r="C118"/>
      <c r="D118"/>
    </row>
    <row r="119" spans="1:4" x14ac:dyDescent="0.25">
      <c r="A119"/>
      <c r="B119"/>
      <c r="C119"/>
      <c r="D119"/>
    </row>
    <row r="120" spans="1:4" x14ac:dyDescent="0.25">
      <c r="A120"/>
      <c r="B120"/>
      <c r="C120"/>
      <c r="D120"/>
    </row>
    <row r="121" spans="1:4" x14ac:dyDescent="0.25">
      <c r="A121"/>
      <c r="B121"/>
      <c r="C121"/>
      <c r="D121"/>
    </row>
    <row r="122" spans="1:4" x14ac:dyDescent="0.25">
      <c r="A122"/>
      <c r="B122"/>
      <c r="C122"/>
      <c r="D122"/>
    </row>
    <row r="123" spans="1:4" x14ac:dyDescent="0.25">
      <c r="C123"/>
      <c r="D123"/>
    </row>
    <row r="124" spans="1:4" x14ac:dyDescent="0.25">
      <c r="C124"/>
      <c r="D124"/>
    </row>
    <row r="125" spans="1:4" x14ac:dyDescent="0.25">
      <c r="C125"/>
      <c r="D125"/>
    </row>
    <row r="126" spans="1:4" x14ac:dyDescent="0.25">
      <c r="C126"/>
      <c r="D126"/>
    </row>
    <row r="127" spans="1:4" x14ac:dyDescent="0.25">
      <c r="C127"/>
      <c r="D127"/>
    </row>
    <row r="128" spans="1:4" x14ac:dyDescent="0.25">
      <c r="C128"/>
      <c r="D128"/>
    </row>
    <row r="129" spans="3:4" x14ac:dyDescent="0.25">
      <c r="C129"/>
      <c r="D129"/>
    </row>
    <row r="130" spans="3:4" x14ac:dyDescent="0.25">
      <c r="C130"/>
      <c r="D130"/>
    </row>
    <row r="131" spans="3:4" x14ac:dyDescent="0.25">
      <c r="C131"/>
      <c r="D131"/>
    </row>
    <row r="132" spans="3:4" x14ac:dyDescent="0.25">
      <c r="C132"/>
      <c r="D132"/>
    </row>
    <row r="133" spans="3:4" x14ac:dyDescent="0.25">
      <c r="C133"/>
      <c r="D133"/>
    </row>
    <row r="134" spans="3:4" x14ac:dyDescent="0.25">
      <c r="C134"/>
      <c r="D134"/>
    </row>
    <row r="135" spans="3:4" x14ac:dyDescent="0.25">
      <c r="C135"/>
      <c r="D135"/>
    </row>
    <row r="136" spans="3:4" x14ac:dyDescent="0.25">
      <c r="C136"/>
      <c r="D136"/>
    </row>
    <row r="137" spans="3:4" x14ac:dyDescent="0.25">
      <c r="C137"/>
      <c r="D137"/>
    </row>
    <row r="138" spans="3:4" x14ac:dyDescent="0.25">
      <c r="C138"/>
      <c r="D138"/>
    </row>
    <row r="139" spans="3:4" x14ac:dyDescent="0.25">
      <c r="C139"/>
      <c r="D139"/>
    </row>
    <row r="140" spans="3:4" x14ac:dyDescent="0.25">
      <c r="C140"/>
      <c r="D140"/>
    </row>
    <row r="141" spans="3:4" x14ac:dyDescent="0.25">
      <c r="C141"/>
      <c r="D141"/>
    </row>
    <row r="142" spans="3:4" x14ac:dyDescent="0.25">
      <c r="C142"/>
      <c r="D142"/>
    </row>
    <row r="143" spans="3:4" x14ac:dyDescent="0.25">
      <c r="C143"/>
      <c r="D143"/>
    </row>
    <row r="144" spans="3:4" x14ac:dyDescent="0.25">
      <c r="C144"/>
      <c r="D144"/>
    </row>
    <row r="145" spans="3:4" x14ac:dyDescent="0.25">
      <c r="C145"/>
      <c r="D145"/>
    </row>
    <row r="146" spans="3:4" x14ac:dyDescent="0.25">
      <c r="C146"/>
      <c r="D146"/>
    </row>
    <row r="147" spans="3:4" x14ac:dyDescent="0.25">
      <c r="C147"/>
      <c r="D147"/>
    </row>
    <row r="148" spans="3:4" x14ac:dyDescent="0.25">
      <c r="C148"/>
      <c r="D148"/>
    </row>
    <row r="149" spans="3:4" x14ac:dyDescent="0.25">
      <c r="C149"/>
      <c r="D149"/>
    </row>
    <row r="150" spans="3:4" x14ac:dyDescent="0.25">
      <c r="C150"/>
      <c r="D150"/>
    </row>
    <row r="151" spans="3:4" x14ac:dyDescent="0.25">
      <c r="C151"/>
      <c r="D151"/>
    </row>
    <row r="152" spans="3:4" x14ac:dyDescent="0.25">
      <c r="C152"/>
      <c r="D152"/>
    </row>
    <row r="153" spans="3:4" x14ac:dyDescent="0.25">
      <c r="C153"/>
      <c r="D153"/>
    </row>
    <row r="154" spans="3:4" x14ac:dyDescent="0.25">
      <c r="C154"/>
      <c r="D154"/>
    </row>
    <row r="155" spans="3:4" x14ac:dyDescent="0.25">
      <c r="C155"/>
      <c r="D155"/>
    </row>
    <row r="156" spans="3:4" x14ac:dyDescent="0.25">
      <c r="C156"/>
      <c r="D156"/>
    </row>
    <row r="157" spans="3:4" x14ac:dyDescent="0.25">
      <c r="C157"/>
      <c r="D157"/>
    </row>
    <row r="158" spans="3:4" x14ac:dyDescent="0.25">
      <c r="C158"/>
      <c r="D158"/>
    </row>
    <row r="159" spans="3:4" x14ac:dyDescent="0.25">
      <c r="C159"/>
      <c r="D159"/>
    </row>
    <row r="160" spans="3:4" x14ac:dyDescent="0.25">
      <c r="C160"/>
      <c r="D160"/>
    </row>
    <row r="161" spans="3:4" x14ac:dyDescent="0.25">
      <c r="C161"/>
      <c r="D161"/>
    </row>
    <row r="162" spans="3:4" x14ac:dyDescent="0.25">
      <c r="C162"/>
      <c r="D162"/>
    </row>
    <row r="163" spans="3:4" x14ac:dyDescent="0.25">
      <c r="C163"/>
      <c r="D163"/>
    </row>
    <row r="164" spans="3:4" x14ac:dyDescent="0.25">
      <c r="C164"/>
      <c r="D164"/>
    </row>
    <row r="165" spans="3:4" x14ac:dyDescent="0.25">
      <c r="C165"/>
      <c r="D165"/>
    </row>
    <row r="166" spans="3:4" x14ac:dyDescent="0.25">
      <c r="C166"/>
      <c r="D166"/>
    </row>
    <row r="167" spans="3:4" x14ac:dyDescent="0.25">
      <c r="C167"/>
      <c r="D167"/>
    </row>
    <row r="168" spans="3:4" x14ac:dyDescent="0.25">
      <c r="C168"/>
      <c r="D168"/>
    </row>
    <row r="169" spans="3:4" x14ac:dyDescent="0.25">
      <c r="C169"/>
      <c r="D169"/>
    </row>
    <row r="170" spans="3:4" x14ac:dyDescent="0.25">
      <c r="C170"/>
      <c r="D170"/>
    </row>
    <row r="171" spans="3:4" x14ac:dyDescent="0.25">
      <c r="C171"/>
      <c r="D171"/>
    </row>
    <row r="172" spans="3:4" x14ac:dyDescent="0.25">
      <c r="C172"/>
      <c r="D172"/>
    </row>
    <row r="173" spans="3:4" x14ac:dyDescent="0.25">
      <c r="C173"/>
      <c r="D173"/>
    </row>
    <row r="174" spans="3:4" x14ac:dyDescent="0.25">
      <c r="C174"/>
      <c r="D174"/>
    </row>
    <row r="175" spans="3:4" x14ac:dyDescent="0.25">
      <c r="C175"/>
      <c r="D175"/>
    </row>
    <row r="176" spans="3:4" x14ac:dyDescent="0.25">
      <c r="C176"/>
      <c r="D176"/>
    </row>
    <row r="177" spans="3:4" x14ac:dyDescent="0.25">
      <c r="C177"/>
      <c r="D177"/>
    </row>
    <row r="178" spans="3:4" x14ac:dyDescent="0.25">
      <c r="C178"/>
      <c r="D178"/>
    </row>
    <row r="179" spans="3:4" x14ac:dyDescent="0.25">
      <c r="C179"/>
      <c r="D179"/>
    </row>
    <row r="180" spans="3:4" x14ac:dyDescent="0.25">
      <c r="C180"/>
      <c r="D180"/>
    </row>
    <row r="181" spans="3:4" x14ac:dyDescent="0.25">
      <c r="C181"/>
      <c r="D181"/>
    </row>
    <row r="182" spans="3:4" x14ac:dyDescent="0.25">
      <c r="C182"/>
      <c r="D182"/>
    </row>
    <row r="183" spans="3:4" x14ac:dyDescent="0.25">
      <c r="C183"/>
      <c r="D183"/>
    </row>
    <row r="184" spans="3:4" x14ac:dyDescent="0.25">
      <c r="C184"/>
      <c r="D184"/>
    </row>
    <row r="185" spans="3:4" x14ac:dyDescent="0.25">
      <c r="C185"/>
      <c r="D185"/>
    </row>
    <row r="186" spans="3:4" x14ac:dyDescent="0.25">
      <c r="C186"/>
      <c r="D186"/>
    </row>
    <row r="187" spans="3:4" x14ac:dyDescent="0.25">
      <c r="C187"/>
      <c r="D187"/>
    </row>
    <row r="188" spans="3:4" x14ac:dyDescent="0.25">
      <c r="C188"/>
      <c r="D188"/>
    </row>
    <row r="189" spans="3:4" x14ac:dyDescent="0.25">
      <c r="C189"/>
      <c r="D189"/>
    </row>
    <row r="190" spans="3:4" x14ac:dyDescent="0.25">
      <c r="C190"/>
      <c r="D190"/>
    </row>
    <row r="191" spans="3:4" x14ac:dyDescent="0.25">
      <c r="C191"/>
      <c r="D191"/>
    </row>
    <row r="192" spans="3:4" x14ac:dyDescent="0.25">
      <c r="C192"/>
      <c r="D192"/>
    </row>
    <row r="193" spans="3:4" x14ac:dyDescent="0.25">
      <c r="C193"/>
      <c r="D193"/>
    </row>
    <row r="194" spans="3:4" x14ac:dyDescent="0.25">
      <c r="C194"/>
      <c r="D194"/>
    </row>
    <row r="195" spans="3:4" x14ac:dyDescent="0.25">
      <c r="C195"/>
      <c r="D195"/>
    </row>
    <row r="196" spans="3:4" x14ac:dyDescent="0.25">
      <c r="C196"/>
      <c r="D196"/>
    </row>
    <row r="197" spans="3:4" x14ac:dyDescent="0.25">
      <c r="C197"/>
      <c r="D197"/>
    </row>
    <row r="198" spans="3:4" x14ac:dyDescent="0.25">
      <c r="C198"/>
      <c r="D198"/>
    </row>
    <row r="199" spans="3:4" x14ac:dyDescent="0.25">
      <c r="C199"/>
      <c r="D199"/>
    </row>
    <row r="200" spans="3:4" x14ac:dyDescent="0.25">
      <c r="C200"/>
      <c r="D200"/>
    </row>
    <row r="201" spans="3:4" x14ac:dyDescent="0.25">
      <c r="C201"/>
      <c r="D201"/>
    </row>
    <row r="202" spans="3:4" x14ac:dyDescent="0.25">
      <c r="C202"/>
      <c r="D202"/>
    </row>
    <row r="203" spans="3:4" x14ac:dyDescent="0.25">
      <c r="C203"/>
      <c r="D203"/>
    </row>
    <row r="204" spans="3:4" x14ac:dyDescent="0.25">
      <c r="C204"/>
      <c r="D204"/>
    </row>
    <row r="205" spans="3:4" x14ac:dyDescent="0.25">
      <c r="C205"/>
      <c r="D205"/>
    </row>
    <row r="206" spans="3:4" x14ac:dyDescent="0.25">
      <c r="C206"/>
      <c r="D206"/>
    </row>
    <row r="207" spans="3:4" x14ac:dyDescent="0.25">
      <c r="C207"/>
      <c r="D207"/>
    </row>
    <row r="208" spans="3:4" x14ac:dyDescent="0.25">
      <c r="C208"/>
      <c r="D208"/>
    </row>
    <row r="209" spans="3:4" x14ac:dyDescent="0.25">
      <c r="C209"/>
      <c r="D209"/>
    </row>
    <row r="210" spans="3:4" x14ac:dyDescent="0.25">
      <c r="C210"/>
      <c r="D210"/>
    </row>
    <row r="211" spans="3:4" x14ac:dyDescent="0.25">
      <c r="C211"/>
      <c r="D211"/>
    </row>
    <row r="212" spans="3:4" x14ac:dyDescent="0.25">
      <c r="C212"/>
      <c r="D212"/>
    </row>
    <row r="213" spans="3:4" x14ac:dyDescent="0.25">
      <c r="C213"/>
      <c r="D213"/>
    </row>
    <row r="214" spans="3:4" x14ac:dyDescent="0.25">
      <c r="C214"/>
      <c r="D214"/>
    </row>
    <row r="215" spans="3:4" x14ac:dyDescent="0.25">
      <c r="C215"/>
      <c r="D215"/>
    </row>
    <row r="216" spans="3:4" x14ac:dyDescent="0.25">
      <c r="C216"/>
      <c r="D216"/>
    </row>
    <row r="217" spans="3:4" x14ac:dyDescent="0.25">
      <c r="C217"/>
      <c r="D217"/>
    </row>
    <row r="218" spans="3:4" x14ac:dyDescent="0.25">
      <c r="C218"/>
      <c r="D218"/>
    </row>
    <row r="219" spans="3:4" x14ac:dyDescent="0.25">
      <c r="C219"/>
      <c r="D219"/>
    </row>
    <row r="220" spans="3:4" x14ac:dyDescent="0.25">
      <c r="C220"/>
      <c r="D220"/>
    </row>
    <row r="221" spans="3:4" x14ac:dyDescent="0.25">
      <c r="C221"/>
      <c r="D221"/>
    </row>
    <row r="222" spans="3:4" x14ac:dyDescent="0.25">
      <c r="C222"/>
      <c r="D222"/>
    </row>
    <row r="223" spans="3:4" x14ac:dyDescent="0.25">
      <c r="C223"/>
      <c r="D223"/>
    </row>
    <row r="224" spans="3:4" x14ac:dyDescent="0.25">
      <c r="C224"/>
      <c r="D224"/>
    </row>
    <row r="225" spans="3:4" x14ac:dyDescent="0.25">
      <c r="C225"/>
      <c r="D225"/>
    </row>
    <row r="226" spans="3:4" x14ac:dyDescent="0.25">
      <c r="C226"/>
      <c r="D226"/>
    </row>
    <row r="227" spans="3:4" x14ac:dyDescent="0.25">
      <c r="C227"/>
      <c r="D227"/>
    </row>
    <row r="228" spans="3:4" x14ac:dyDescent="0.25">
      <c r="C228"/>
      <c r="D228"/>
    </row>
    <row r="229" spans="3:4" x14ac:dyDescent="0.25">
      <c r="C229"/>
      <c r="D229"/>
    </row>
    <row r="230" spans="3:4" x14ac:dyDescent="0.25">
      <c r="C230"/>
      <c r="D230"/>
    </row>
    <row r="231" spans="3:4" x14ac:dyDescent="0.25">
      <c r="C231"/>
      <c r="D231"/>
    </row>
    <row r="232" spans="3:4" x14ac:dyDescent="0.25">
      <c r="C232"/>
      <c r="D232"/>
    </row>
    <row r="233" spans="3:4" x14ac:dyDescent="0.25">
      <c r="C233"/>
      <c r="D233"/>
    </row>
    <row r="234" spans="3:4" x14ac:dyDescent="0.25">
      <c r="C234"/>
      <c r="D234"/>
    </row>
    <row r="235" spans="3:4" x14ac:dyDescent="0.25">
      <c r="C235"/>
      <c r="D235"/>
    </row>
    <row r="236" spans="3:4" x14ac:dyDescent="0.25">
      <c r="C236"/>
      <c r="D236"/>
    </row>
    <row r="237" spans="3:4" x14ac:dyDescent="0.25">
      <c r="C237"/>
      <c r="D237"/>
    </row>
    <row r="238" spans="3:4" x14ac:dyDescent="0.25">
      <c r="C238"/>
      <c r="D238"/>
    </row>
    <row r="239" spans="3:4" x14ac:dyDescent="0.25">
      <c r="C239"/>
      <c r="D239"/>
    </row>
    <row r="240" spans="3:4" x14ac:dyDescent="0.25">
      <c r="C240"/>
      <c r="D240"/>
    </row>
    <row r="241" spans="3:4" x14ac:dyDescent="0.25">
      <c r="C241"/>
      <c r="D241"/>
    </row>
    <row r="242" spans="3:4" x14ac:dyDescent="0.25">
      <c r="C242"/>
      <c r="D242"/>
    </row>
    <row r="243" spans="3:4" x14ac:dyDescent="0.25">
      <c r="C243"/>
      <c r="D243"/>
    </row>
    <row r="244" spans="3:4" x14ac:dyDescent="0.25">
      <c r="C244"/>
      <c r="D244"/>
    </row>
    <row r="245" spans="3:4" x14ac:dyDescent="0.25">
      <c r="C245"/>
      <c r="D245"/>
    </row>
    <row r="246" spans="3:4" x14ac:dyDescent="0.25">
      <c r="C246"/>
      <c r="D246"/>
    </row>
    <row r="247" spans="3:4" x14ac:dyDescent="0.25">
      <c r="C247"/>
      <c r="D247"/>
    </row>
    <row r="248" spans="3:4" x14ac:dyDescent="0.25">
      <c r="C248"/>
      <c r="D248"/>
    </row>
    <row r="249" spans="3:4" x14ac:dyDescent="0.25">
      <c r="C249"/>
      <c r="D249"/>
    </row>
    <row r="250" spans="3:4" x14ac:dyDescent="0.25">
      <c r="C250"/>
      <c r="D250"/>
    </row>
    <row r="251" spans="3:4" x14ac:dyDescent="0.25">
      <c r="C251"/>
      <c r="D251"/>
    </row>
    <row r="252" spans="3:4" x14ac:dyDescent="0.25">
      <c r="C252"/>
      <c r="D252"/>
    </row>
    <row r="253" spans="3:4" x14ac:dyDescent="0.25">
      <c r="C253"/>
      <c r="D253"/>
    </row>
    <row r="254" spans="3:4" x14ac:dyDescent="0.25">
      <c r="C254"/>
      <c r="D254"/>
    </row>
    <row r="255" spans="3:4" x14ac:dyDescent="0.25">
      <c r="C255"/>
      <c r="D255"/>
    </row>
    <row r="256" spans="3:4" x14ac:dyDescent="0.25">
      <c r="C256"/>
      <c r="D256"/>
    </row>
    <row r="257" spans="3:4" x14ac:dyDescent="0.25">
      <c r="C257"/>
      <c r="D257"/>
    </row>
    <row r="258" spans="3:4" x14ac:dyDescent="0.25">
      <c r="C258"/>
      <c r="D258"/>
    </row>
    <row r="259" spans="3:4" x14ac:dyDescent="0.25">
      <c r="C259"/>
      <c r="D259"/>
    </row>
    <row r="260" spans="3:4" x14ac:dyDescent="0.25">
      <c r="C260"/>
      <c r="D260"/>
    </row>
    <row r="261" spans="3:4" x14ac:dyDescent="0.25">
      <c r="C261"/>
      <c r="D261"/>
    </row>
    <row r="262" spans="3:4" x14ac:dyDescent="0.25">
      <c r="C262"/>
      <c r="D262"/>
    </row>
    <row r="263" spans="3:4" x14ac:dyDescent="0.25">
      <c r="C263"/>
      <c r="D263"/>
    </row>
    <row r="264" spans="3:4" x14ac:dyDescent="0.25">
      <c r="C264"/>
      <c r="D264"/>
    </row>
    <row r="265" spans="3:4" x14ac:dyDescent="0.25">
      <c r="C265"/>
      <c r="D265"/>
    </row>
    <row r="266" spans="3:4" x14ac:dyDescent="0.25">
      <c r="C266"/>
      <c r="D266"/>
    </row>
    <row r="267" spans="3:4" x14ac:dyDescent="0.25">
      <c r="C267"/>
      <c r="D267"/>
    </row>
    <row r="268" spans="3:4" x14ac:dyDescent="0.25">
      <c r="C268"/>
      <c r="D268"/>
    </row>
    <row r="269" spans="3:4" x14ac:dyDescent="0.25">
      <c r="C269"/>
      <c r="D269"/>
    </row>
    <row r="270" spans="3:4" x14ac:dyDescent="0.25">
      <c r="C270"/>
      <c r="D270"/>
    </row>
    <row r="271" spans="3:4" x14ac:dyDescent="0.25">
      <c r="C271"/>
      <c r="D271"/>
    </row>
    <row r="272" spans="3:4" x14ac:dyDescent="0.25">
      <c r="C272"/>
      <c r="D272"/>
    </row>
    <row r="273" spans="3:4" x14ac:dyDescent="0.25">
      <c r="C273"/>
      <c r="D273"/>
    </row>
    <row r="274" spans="3:4" x14ac:dyDescent="0.25">
      <c r="C274"/>
      <c r="D274"/>
    </row>
    <row r="275" spans="3:4" x14ac:dyDescent="0.25">
      <c r="C275"/>
      <c r="D275"/>
    </row>
    <row r="276" spans="3:4" x14ac:dyDescent="0.25">
      <c r="C276"/>
      <c r="D276"/>
    </row>
    <row r="277" spans="3:4" x14ac:dyDescent="0.25">
      <c r="C277"/>
      <c r="D277"/>
    </row>
    <row r="278" spans="3:4" x14ac:dyDescent="0.25">
      <c r="C278"/>
      <c r="D278"/>
    </row>
    <row r="279" spans="3:4" x14ac:dyDescent="0.25">
      <c r="C279"/>
      <c r="D279"/>
    </row>
    <row r="280" spans="3:4" x14ac:dyDescent="0.25">
      <c r="C280"/>
      <c r="D280"/>
    </row>
    <row r="281" spans="3:4" x14ac:dyDescent="0.25">
      <c r="C281"/>
      <c r="D281"/>
    </row>
    <row r="282" spans="3:4" x14ac:dyDescent="0.25">
      <c r="C282"/>
      <c r="D282"/>
    </row>
    <row r="283" spans="3:4" x14ac:dyDescent="0.25">
      <c r="C283"/>
      <c r="D283"/>
    </row>
    <row r="284" spans="3:4" x14ac:dyDescent="0.25">
      <c r="C284"/>
      <c r="D284"/>
    </row>
    <row r="285" spans="3:4" x14ac:dyDescent="0.25">
      <c r="C285"/>
      <c r="D285"/>
    </row>
    <row r="286" spans="3:4" x14ac:dyDescent="0.25">
      <c r="C286"/>
      <c r="D286"/>
    </row>
    <row r="287" spans="3:4" x14ac:dyDescent="0.25">
      <c r="C287"/>
      <c r="D287"/>
    </row>
    <row r="288" spans="3:4" x14ac:dyDescent="0.25">
      <c r="C288"/>
      <c r="D288"/>
    </row>
    <row r="289" spans="3:4" x14ac:dyDescent="0.25">
      <c r="C289"/>
      <c r="D289"/>
    </row>
    <row r="290" spans="3:4" x14ac:dyDescent="0.25">
      <c r="C290"/>
      <c r="D290"/>
    </row>
    <row r="291" spans="3:4" x14ac:dyDescent="0.25">
      <c r="C291"/>
      <c r="D291"/>
    </row>
    <row r="292" spans="3:4" x14ac:dyDescent="0.25">
      <c r="C292"/>
      <c r="D292"/>
    </row>
    <row r="293" spans="3:4" x14ac:dyDescent="0.25">
      <c r="C293"/>
      <c r="D293"/>
    </row>
    <row r="294" spans="3:4" x14ac:dyDescent="0.25">
      <c r="C294"/>
      <c r="D294"/>
    </row>
    <row r="295" spans="3:4" x14ac:dyDescent="0.25">
      <c r="C295"/>
      <c r="D295"/>
    </row>
    <row r="296" spans="3:4" x14ac:dyDescent="0.25">
      <c r="C296"/>
      <c r="D296"/>
    </row>
    <row r="297" spans="3:4" x14ac:dyDescent="0.25">
      <c r="C297"/>
      <c r="D297"/>
    </row>
    <row r="298" spans="3:4" x14ac:dyDescent="0.25">
      <c r="C298"/>
      <c r="D298"/>
    </row>
    <row r="299" spans="3:4" x14ac:dyDescent="0.25">
      <c r="C299"/>
      <c r="D299"/>
    </row>
    <row r="300" spans="3:4" x14ac:dyDescent="0.25">
      <c r="C300"/>
      <c r="D300"/>
    </row>
    <row r="301" spans="3:4" x14ac:dyDescent="0.25">
      <c r="C301"/>
      <c r="D301"/>
    </row>
    <row r="302" spans="3:4" x14ac:dyDescent="0.25">
      <c r="C302"/>
      <c r="D302"/>
    </row>
    <row r="303" spans="3:4" x14ac:dyDescent="0.25">
      <c r="C303"/>
      <c r="D303"/>
    </row>
    <row r="304" spans="3:4" x14ac:dyDescent="0.25">
      <c r="C304"/>
      <c r="D304"/>
    </row>
    <row r="305" spans="3:4" x14ac:dyDescent="0.25">
      <c r="C305"/>
      <c r="D305"/>
    </row>
    <row r="306" spans="3:4" x14ac:dyDescent="0.25">
      <c r="C306"/>
      <c r="D306"/>
    </row>
    <row r="307" spans="3:4" x14ac:dyDescent="0.25">
      <c r="C307"/>
      <c r="D307"/>
    </row>
    <row r="308" spans="3:4" x14ac:dyDescent="0.25">
      <c r="C308"/>
      <c r="D308"/>
    </row>
    <row r="309" spans="3:4" x14ac:dyDescent="0.25">
      <c r="C309"/>
      <c r="D309"/>
    </row>
    <row r="310" spans="3:4" x14ac:dyDescent="0.25">
      <c r="C310"/>
      <c r="D310"/>
    </row>
    <row r="311" spans="3:4" x14ac:dyDescent="0.25">
      <c r="C311"/>
      <c r="D311"/>
    </row>
    <row r="312" spans="3:4" x14ac:dyDescent="0.25">
      <c r="C312"/>
      <c r="D312"/>
    </row>
    <row r="313" spans="3:4" x14ac:dyDescent="0.25">
      <c r="C313"/>
      <c r="D313"/>
    </row>
    <row r="314" spans="3:4" x14ac:dyDescent="0.25">
      <c r="C314"/>
      <c r="D314"/>
    </row>
    <row r="315" spans="3:4" x14ac:dyDescent="0.25">
      <c r="C315"/>
      <c r="D315"/>
    </row>
    <row r="316" spans="3:4" x14ac:dyDescent="0.25">
      <c r="C316"/>
      <c r="D316"/>
    </row>
    <row r="317" spans="3:4" x14ac:dyDescent="0.25">
      <c r="C317"/>
      <c r="D317"/>
    </row>
    <row r="318" spans="3:4" x14ac:dyDescent="0.25">
      <c r="C318"/>
      <c r="D318"/>
    </row>
    <row r="319" spans="3:4" x14ac:dyDescent="0.25">
      <c r="C319"/>
      <c r="D319"/>
    </row>
    <row r="320" spans="3:4" x14ac:dyDescent="0.25">
      <c r="C320"/>
      <c r="D320"/>
    </row>
    <row r="321" spans="3:4" x14ac:dyDescent="0.25">
      <c r="C321"/>
      <c r="D321"/>
    </row>
    <row r="322" spans="3:4" x14ac:dyDescent="0.25">
      <c r="C322"/>
      <c r="D322"/>
    </row>
    <row r="323" spans="3:4" x14ac:dyDescent="0.25">
      <c r="C323"/>
      <c r="D323"/>
    </row>
    <row r="324" spans="3:4" x14ac:dyDescent="0.25">
      <c r="C324"/>
      <c r="D324"/>
    </row>
    <row r="325" spans="3:4" x14ac:dyDescent="0.25">
      <c r="C325"/>
      <c r="D325"/>
    </row>
    <row r="326" spans="3:4" x14ac:dyDescent="0.25">
      <c r="C326"/>
      <c r="D326"/>
    </row>
    <row r="327" spans="3:4" x14ac:dyDescent="0.25">
      <c r="C327"/>
      <c r="D327"/>
    </row>
    <row r="328" spans="3:4" x14ac:dyDescent="0.25">
      <c r="C328"/>
      <c r="D328"/>
    </row>
    <row r="329" spans="3:4" x14ac:dyDescent="0.25">
      <c r="C329"/>
      <c r="D329"/>
    </row>
    <row r="330" spans="3:4" x14ac:dyDescent="0.25">
      <c r="C330"/>
      <c r="D330"/>
    </row>
    <row r="331" spans="3:4" x14ac:dyDescent="0.25">
      <c r="C331"/>
      <c r="D331"/>
    </row>
    <row r="332" spans="3:4" x14ac:dyDescent="0.25">
      <c r="C332"/>
      <c r="D332"/>
    </row>
    <row r="333" spans="3:4" x14ac:dyDescent="0.25">
      <c r="C333"/>
      <c r="D333"/>
    </row>
    <row r="334" spans="3:4" x14ac:dyDescent="0.25">
      <c r="C334"/>
      <c r="D334"/>
    </row>
    <row r="335" spans="3:4" x14ac:dyDescent="0.25">
      <c r="C335"/>
      <c r="D335"/>
    </row>
    <row r="336" spans="3:4" x14ac:dyDescent="0.25">
      <c r="C336"/>
      <c r="D336"/>
    </row>
    <row r="337" spans="3:4" x14ac:dyDescent="0.25">
      <c r="C337"/>
      <c r="D337"/>
    </row>
    <row r="338" spans="3:4" x14ac:dyDescent="0.25">
      <c r="C338"/>
      <c r="D338"/>
    </row>
    <row r="339" spans="3:4" x14ac:dyDescent="0.25">
      <c r="C339"/>
      <c r="D339"/>
    </row>
    <row r="340" spans="3:4" x14ac:dyDescent="0.25">
      <c r="C340"/>
      <c r="D340"/>
    </row>
    <row r="341" spans="3:4" x14ac:dyDescent="0.25">
      <c r="C341"/>
      <c r="D341"/>
    </row>
    <row r="342" spans="3:4" x14ac:dyDescent="0.25">
      <c r="C342"/>
      <c r="D342"/>
    </row>
    <row r="343" spans="3:4" x14ac:dyDescent="0.25">
      <c r="C343"/>
      <c r="D343"/>
    </row>
    <row r="344" spans="3:4" x14ac:dyDescent="0.25">
      <c r="C344"/>
      <c r="D344"/>
    </row>
    <row r="345" spans="3:4" x14ac:dyDescent="0.25">
      <c r="C345"/>
      <c r="D345"/>
    </row>
    <row r="346" spans="3:4" x14ac:dyDescent="0.25">
      <c r="C346"/>
      <c r="D346"/>
    </row>
    <row r="347" spans="3:4" x14ac:dyDescent="0.25">
      <c r="C347"/>
      <c r="D347"/>
    </row>
    <row r="348" spans="3:4" x14ac:dyDescent="0.25">
      <c r="C348"/>
      <c r="D348"/>
    </row>
    <row r="349" spans="3:4" x14ac:dyDescent="0.25">
      <c r="C349"/>
      <c r="D349"/>
    </row>
    <row r="350" spans="3:4" x14ac:dyDescent="0.25">
      <c r="C350"/>
      <c r="D350"/>
    </row>
    <row r="351" spans="3:4" x14ac:dyDescent="0.25">
      <c r="C351"/>
      <c r="D351"/>
    </row>
    <row r="352" spans="3:4" x14ac:dyDescent="0.25">
      <c r="C352"/>
      <c r="D352"/>
    </row>
    <row r="353" spans="3:4" x14ac:dyDescent="0.25">
      <c r="C353"/>
      <c r="D353"/>
    </row>
    <row r="354" spans="3:4" x14ac:dyDescent="0.25">
      <c r="C354"/>
      <c r="D354"/>
    </row>
    <row r="355" spans="3:4" x14ac:dyDescent="0.25">
      <c r="C355"/>
      <c r="D355"/>
    </row>
    <row r="356" spans="3:4" x14ac:dyDescent="0.25">
      <c r="C356"/>
      <c r="D356"/>
    </row>
    <row r="357" spans="3:4" x14ac:dyDescent="0.25">
      <c r="C357"/>
      <c r="D357"/>
    </row>
    <row r="358" spans="3:4" x14ac:dyDescent="0.25">
      <c r="C358"/>
      <c r="D358"/>
    </row>
    <row r="359" spans="3:4" x14ac:dyDescent="0.25">
      <c r="C359"/>
      <c r="D359"/>
    </row>
    <row r="360" spans="3:4" x14ac:dyDescent="0.25">
      <c r="C360"/>
      <c r="D360"/>
    </row>
    <row r="361" spans="3:4" x14ac:dyDescent="0.25">
      <c r="C361"/>
      <c r="D361"/>
    </row>
    <row r="362" spans="3:4" x14ac:dyDescent="0.25">
      <c r="C362"/>
      <c r="D362"/>
    </row>
    <row r="363" spans="3:4" x14ac:dyDescent="0.25">
      <c r="C363"/>
      <c r="D363"/>
    </row>
    <row r="364" spans="3:4" x14ac:dyDescent="0.25">
      <c r="C364"/>
      <c r="D364"/>
    </row>
    <row r="365" spans="3:4" x14ac:dyDescent="0.25">
      <c r="C365"/>
      <c r="D365"/>
    </row>
    <row r="366" spans="3:4" x14ac:dyDescent="0.25">
      <c r="C366"/>
      <c r="D366"/>
    </row>
    <row r="367" spans="3:4" x14ac:dyDescent="0.25">
      <c r="C367"/>
      <c r="D367"/>
    </row>
    <row r="368" spans="3:4" x14ac:dyDescent="0.25">
      <c r="C368"/>
      <c r="D368"/>
    </row>
    <row r="369" spans="3:4" x14ac:dyDescent="0.25">
      <c r="C369"/>
      <c r="D369"/>
    </row>
    <row r="370" spans="3:4" x14ac:dyDescent="0.25">
      <c r="C370"/>
      <c r="D370"/>
    </row>
    <row r="371" spans="3:4" x14ac:dyDescent="0.25">
      <c r="C371"/>
      <c r="D371"/>
    </row>
    <row r="372" spans="3:4" x14ac:dyDescent="0.25">
      <c r="C372"/>
      <c r="D372"/>
    </row>
    <row r="373" spans="3:4" x14ac:dyDescent="0.25">
      <c r="C373"/>
      <c r="D373"/>
    </row>
    <row r="374" spans="3:4" x14ac:dyDescent="0.25">
      <c r="C374"/>
      <c r="D374"/>
    </row>
    <row r="375" spans="3:4" x14ac:dyDescent="0.25">
      <c r="C375"/>
      <c r="D375"/>
    </row>
    <row r="376" spans="3:4" x14ac:dyDescent="0.25">
      <c r="C376"/>
      <c r="D376"/>
    </row>
    <row r="377" spans="3:4" x14ac:dyDescent="0.25">
      <c r="C377"/>
      <c r="D377"/>
    </row>
    <row r="378" spans="3:4" x14ac:dyDescent="0.25">
      <c r="C378"/>
      <c r="D378"/>
    </row>
    <row r="379" spans="3:4" x14ac:dyDescent="0.25">
      <c r="C379"/>
      <c r="D379"/>
    </row>
    <row r="380" spans="3:4" x14ac:dyDescent="0.25">
      <c r="C380"/>
      <c r="D380"/>
    </row>
    <row r="381" spans="3:4" x14ac:dyDescent="0.25">
      <c r="C381"/>
      <c r="D381"/>
    </row>
    <row r="382" spans="3:4" x14ac:dyDescent="0.25">
      <c r="C382"/>
      <c r="D382"/>
    </row>
    <row r="383" spans="3:4" x14ac:dyDescent="0.25">
      <c r="C383"/>
      <c r="D383"/>
    </row>
    <row r="384" spans="3:4" x14ac:dyDescent="0.25">
      <c r="C384"/>
      <c r="D384"/>
    </row>
    <row r="385" spans="3:4" x14ac:dyDescent="0.25">
      <c r="C385"/>
      <c r="D385"/>
    </row>
    <row r="386" spans="3:4" x14ac:dyDescent="0.25">
      <c r="C386"/>
      <c r="D386"/>
    </row>
    <row r="387" spans="3:4" x14ac:dyDescent="0.25">
      <c r="C387"/>
      <c r="D387"/>
    </row>
    <row r="388" spans="3:4" x14ac:dyDescent="0.25">
      <c r="C388"/>
      <c r="D388"/>
    </row>
    <row r="389" spans="3:4" x14ac:dyDescent="0.25">
      <c r="C389"/>
      <c r="D389"/>
    </row>
    <row r="390" spans="3:4" x14ac:dyDescent="0.25">
      <c r="C390"/>
      <c r="D390"/>
    </row>
    <row r="391" spans="3:4" x14ac:dyDescent="0.25">
      <c r="C391"/>
      <c r="D391"/>
    </row>
    <row r="392" spans="3:4" x14ac:dyDescent="0.25">
      <c r="C392"/>
      <c r="D392"/>
    </row>
    <row r="393" spans="3:4" x14ac:dyDescent="0.25">
      <c r="C393"/>
      <c r="D393"/>
    </row>
    <row r="394" spans="3:4" x14ac:dyDescent="0.25">
      <c r="C394"/>
      <c r="D394"/>
    </row>
    <row r="395" spans="3:4" x14ac:dyDescent="0.25">
      <c r="C395"/>
      <c r="D395"/>
    </row>
    <row r="396" spans="3:4" x14ac:dyDescent="0.25">
      <c r="C396"/>
      <c r="D396"/>
    </row>
    <row r="397" spans="3:4" x14ac:dyDescent="0.25">
      <c r="C397"/>
      <c r="D397"/>
    </row>
    <row r="398" spans="3:4" x14ac:dyDescent="0.25">
      <c r="C398"/>
      <c r="D398"/>
    </row>
    <row r="399" spans="3:4" x14ac:dyDescent="0.25">
      <c r="C399"/>
      <c r="D399"/>
    </row>
    <row r="400" spans="3:4" x14ac:dyDescent="0.25">
      <c r="C400"/>
      <c r="D400"/>
    </row>
    <row r="401" spans="3:4" x14ac:dyDescent="0.25">
      <c r="C401"/>
      <c r="D401"/>
    </row>
    <row r="402" spans="3:4" x14ac:dyDescent="0.25">
      <c r="C402"/>
      <c r="D402"/>
    </row>
    <row r="403" spans="3:4" x14ac:dyDescent="0.25">
      <c r="C403"/>
      <c r="D403"/>
    </row>
    <row r="404" spans="3:4" x14ac:dyDescent="0.25">
      <c r="C404"/>
      <c r="D404"/>
    </row>
    <row r="405" spans="3:4" x14ac:dyDescent="0.25">
      <c r="C405"/>
      <c r="D405"/>
    </row>
    <row r="406" spans="3:4" x14ac:dyDescent="0.25">
      <c r="C406"/>
      <c r="D406"/>
    </row>
    <row r="407" spans="3:4" x14ac:dyDescent="0.25">
      <c r="C407"/>
      <c r="D407"/>
    </row>
    <row r="408" spans="3:4" x14ac:dyDescent="0.25">
      <c r="C408"/>
      <c r="D408"/>
    </row>
    <row r="409" spans="3:4" x14ac:dyDescent="0.25">
      <c r="C409"/>
      <c r="D409"/>
    </row>
    <row r="410" spans="3:4" x14ac:dyDescent="0.25">
      <c r="C410"/>
      <c r="D410"/>
    </row>
    <row r="411" spans="3:4" x14ac:dyDescent="0.25">
      <c r="C411"/>
      <c r="D411"/>
    </row>
    <row r="412" spans="3:4" x14ac:dyDescent="0.25">
      <c r="C412"/>
      <c r="D412"/>
    </row>
    <row r="413" spans="3:4" x14ac:dyDescent="0.25">
      <c r="C413"/>
      <c r="D413"/>
    </row>
    <row r="414" spans="3:4" x14ac:dyDescent="0.25">
      <c r="C414"/>
      <c r="D414"/>
    </row>
    <row r="415" spans="3:4" x14ac:dyDescent="0.25">
      <c r="C415"/>
      <c r="D415"/>
    </row>
    <row r="416" spans="3:4" x14ac:dyDescent="0.25">
      <c r="C416"/>
      <c r="D416"/>
    </row>
    <row r="417" spans="3:4" x14ac:dyDescent="0.25">
      <c r="C417"/>
      <c r="D417"/>
    </row>
    <row r="418" spans="3:4" x14ac:dyDescent="0.25">
      <c r="C418"/>
      <c r="D418"/>
    </row>
    <row r="419" spans="3:4" x14ac:dyDescent="0.25">
      <c r="C419"/>
      <c r="D419"/>
    </row>
    <row r="420" spans="3:4" x14ac:dyDescent="0.25">
      <c r="C420"/>
      <c r="D420"/>
    </row>
    <row r="421" spans="3:4" x14ac:dyDescent="0.25">
      <c r="C421"/>
      <c r="D421"/>
    </row>
    <row r="422" spans="3:4" x14ac:dyDescent="0.25">
      <c r="C422"/>
      <c r="D422"/>
    </row>
    <row r="423" spans="3:4" x14ac:dyDescent="0.25">
      <c r="C423"/>
      <c r="D423"/>
    </row>
    <row r="424" spans="3:4" x14ac:dyDescent="0.25">
      <c r="C424"/>
      <c r="D424"/>
    </row>
    <row r="425" spans="3:4" x14ac:dyDescent="0.25">
      <c r="C425"/>
      <c r="D425"/>
    </row>
    <row r="426" spans="3:4" x14ac:dyDescent="0.25">
      <c r="C426"/>
      <c r="D426"/>
    </row>
    <row r="427" spans="3:4" x14ac:dyDescent="0.25">
      <c r="C427"/>
      <c r="D427"/>
    </row>
    <row r="428" spans="3:4" x14ac:dyDescent="0.25">
      <c r="C428"/>
      <c r="D428"/>
    </row>
    <row r="429" spans="3:4" x14ac:dyDescent="0.25">
      <c r="C429"/>
      <c r="D429"/>
    </row>
    <row r="430" spans="3:4" x14ac:dyDescent="0.25">
      <c r="C430"/>
      <c r="D430"/>
    </row>
    <row r="431" spans="3:4" x14ac:dyDescent="0.25">
      <c r="C431"/>
      <c r="D431"/>
    </row>
    <row r="432" spans="3:4" x14ac:dyDescent="0.25">
      <c r="C432"/>
      <c r="D432"/>
    </row>
    <row r="433" spans="3:4" x14ac:dyDescent="0.25">
      <c r="C433"/>
      <c r="D433"/>
    </row>
    <row r="434" spans="3:4" x14ac:dyDescent="0.25">
      <c r="C434"/>
      <c r="D434"/>
    </row>
    <row r="435" spans="3:4" x14ac:dyDescent="0.25">
      <c r="C435"/>
      <c r="D435"/>
    </row>
    <row r="436" spans="3:4" x14ac:dyDescent="0.25">
      <c r="C436"/>
      <c r="D436"/>
    </row>
    <row r="437" spans="3:4" x14ac:dyDescent="0.25">
      <c r="C437"/>
      <c r="D437"/>
    </row>
    <row r="438" spans="3:4" x14ac:dyDescent="0.25">
      <c r="C438"/>
      <c r="D438"/>
    </row>
    <row r="439" spans="3:4" x14ac:dyDescent="0.25">
      <c r="C439"/>
      <c r="D439"/>
    </row>
    <row r="440" spans="3:4" x14ac:dyDescent="0.25">
      <c r="C440"/>
      <c r="D440"/>
    </row>
    <row r="441" spans="3:4" x14ac:dyDescent="0.25">
      <c r="C441"/>
      <c r="D441"/>
    </row>
    <row r="442" spans="3:4" x14ac:dyDescent="0.25">
      <c r="C442"/>
      <c r="D442"/>
    </row>
    <row r="443" spans="3:4" x14ac:dyDescent="0.25">
      <c r="C443"/>
      <c r="D443"/>
    </row>
    <row r="444" spans="3:4" x14ac:dyDescent="0.25">
      <c r="C444"/>
      <c r="D444"/>
    </row>
    <row r="445" spans="3:4" x14ac:dyDescent="0.25">
      <c r="C445"/>
      <c r="D445"/>
    </row>
    <row r="446" spans="3:4" x14ac:dyDescent="0.25">
      <c r="C446"/>
      <c r="D446"/>
    </row>
    <row r="447" spans="3:4" x14ac:dyDescent="0.25">
      <c r="C447"/>
      <c r="D447"/>
    </row>
    <row r="448" spans="3:4" x14ac:dyDescent="0.25">
      <c r="C448"/>
      <c r="D448"/>
    </row>
    <row r="449" spans="3:4" x14ac:dyDescent="0.25">
      <c r="C449"/>
      <c r="D449"/>
    </row>
    <row r="450" spans="3:4" x14ac:dyDescent="0.25">
      <c r="C450"/>
      <c r="D450"/>
    </row>
    <row r="451" spans="3:4" x14ac:dyDescent="0.25">
      <c r="C451"/>
      <c r="D451"/>
    </row>
    <row r="452" spans="3:4" x14ac:dyDescent="0.25">
      <c r="C452"/>
      <c r="D452"/>
    </row>
    <row r="453" spans="3:4" x14ac:dyDescent="0.25">
      <c r="C453"/>
      <c r="D453"/>
    </row>
    <row r="454" spans="3:4" x14ac:dyDescent="0.25">
      <c r="C454"/>
      <c r="D454"/>
    </row>
    <row r="455" spans="3:4" x14ac:dyDescent="0.25">
      <c r="C455"/>
      <c r="D455"/>
    </row>
    <row r="456" spans="3:4" x14ac:dyDescent="0.25">
      <c r="C456"/>
      <c r="D456"/>
    </row>
    <row r="457" spans="3:4" x14ac:dyDescent="0.25">
      <c r="C457"/>
      <c r="D457"/>
    </row>
    <row r="458" spans="3:4" x14ac:dyDescent="0.25">
      <c r="C458"/>
      <c r="D458"/>
    </row>
    <row r="459" spans="3:4" x14ac:dyDescent="0.25">
      <c r="C459"/>
      <c r="D459"/>
    </row>
    <row r="460" spans="3:4" x14ac:dyDescent="0.25">
      <c r="C460"/>
      <c r="D460"/>
    </row>
    <row r="461" spans="3:4" x14ac:dyDescent="0.25">
      <c r="C461"/>
      <c r="D461"/>
    </row>
    <row r="462" spans="3:4" x14ac:dyDescent="0.25">
      <c r="C462"/>
      <c r="D462"/>
    </row>
    <row r="463" spans="3:4" x14ac:dyDescent="0.25">
      <c r="C463"/>
      <c r="D463"/>
    </row>
    <row r="464" spans="3:4" x14ac:dyDescent="0.25">
      <c r="C464"/>
      <c r="D464"/>
    </row>
    <row r="465" spans="3:4" x14ac:dyDescent="0.25">
      <c r="C465"/>
      <c r="D465"/>
    </row>
    <row r="466" spans="3:4" x14ac:dyDescent="0.25">
      <c r="C466"/>
      <c r="D466"/>
    </row>
    <row r="467" spans="3:4" x14ac:dyDescent="0.25">
      <c r="C467"/>
      <c r="D467"/>
    </row>
    <row r="468" spans="3:4" x14ac:dyDescent="0.25">
      <c r="C468"/>
      <c r="D468"/>
    </row>
    <row r="469" spans="3:4" x14ac:dyDescent="0.25">
      <c r="C469"/>
      <c r="D469"/>
    </row>
    <row r="470" spans="3:4" x14ac:dyDescent="0.25">
      <c r="C470"/>
      <c r="D470"/>
    </row>
    <row r="471" spans="3:4" x14ac:dyDescent="0.25">
      <c r="C471"/>
      <c r="D471"/>
    </row>
    <row r="472" spans="3:4" x14ac:dyDescent="0.25">
      <c r="C472"/>
      <c r="D472"/>
    </row>
    <row r="473" spans="3:4" x14ac:dyDescent="0.25">
      <c r="C473"/>
      <c r="D473"/>
    </row>
    <row r="474" spans="3:4" x14ac:dyDescent="0.25">
      <c r="C474"/>
      <c r="D474"/>
    </row>
    <row r="475" spans="3:4" x14ac:dyDescent="0.25">
      <c r="C475"/>
      <c r="D475"/>
    </row>
    <row r="476" spans="3:4" x14ac:dyDescent="0.25">
      <c r="C476"/>
      <c r="D476"/>
    </row>
    <row r="477" spans="3:4" x14ac:dyDescent="0.25">
      <c r="C477"/>
      <c r="D477"/>
    </row>
    <row r="478" spans="3:4" x14ac:dyDescent="0.25">
      <c r="C478"/>
      <c r="D478"/>
    </row>
    <row r="479" spans="3:4" x14ac:dyDescent="0.25">
      <c r="C479"/>
      <c r="D479"/>
    </row>
    <row r="480" spans="3:4" x14ac:dyDescent="0.25">
      <c r="C480"/>
      <c r="D480"/>
    </row>
    <row r="481" spans="3:4" x14ac:dyDescent="0.25">
      <c r="C481"/>
      <c r="D481"/>
    </row>
    <row r="482" spans="3:4" x14ac:dyDescent="0.25">
      <c r="C482"/>
      <c r="D482"/>
    </row>
    <row r="483" spans="3:4" x14ac:dyDescent="0.25">
      <c r="C483"/>
      <c r="D483"/>
    </row>
    <row r="484" spans="3:4" x14ac:dyDescent="0.25">
      <c r="C484"/>
      <c r="D484"/>
    </row>
    <row r="485" spans="3:4" x14ac:dyDescent="0.25">
      <c r="C485"/>
      <c r="D485"/>
    </row>
    <row r="486" spans="3:4" x14ac:dyDescent="0.25">
      <c r="C486"/>
      <c r="D486"/>
    </row>
    <row r="487" spans="3:4" x14ac:dyDescent="0.25">
      <c r="C487"/>
      <c r="D487"/>
    </row>
    <row r="488" spans="3:4" x14ac:dyDescent="0.25">
      <c r="C488"/>
      <c r="D488"/>
    </row>
    <row r="489" spans="3:4" x14ac:dyDescent="0.25">
      <c r="C489"/>
      <c r="D489"/>
    </row>
    <row r="490" spans="3:4" x14ac:dyDescent="0.25">
      <c r="C490"/>
      <c r="D490"/>
    </row>
    <row r="491" spans="3:4" x14ac:dyDescent="0.25">
      <c r="C491"/>
      <c r="D491"/>
    </row>
    <row r="492" spans="3:4" x14ac:dyDescent="0.25">
      <c r="C492"/>
      <c r="D492"/>
    </row>
    <row r="493" spans="3:4" x14ac:dyDescent="0.25">
      <c r="C493"/>
      <c r="D493"/>
    </row>
    <row r="494" spans="3:4" x14ac:dyDescent="0.25">
      <c r="C494"/>
      <c r="D494"/>
    </row>
    <row r="495" spans="3:4" x14ac:dyDescent="0.25">
      <c r="C495"/>
      <c r="D495"/>
    </row>
    <row r="496" spans="3:4" x14ac:dyDescent="0.25">
      <c r="C496"/>
      <c r="D496"/>
    </row>
    <row r="497" spans="3:4" x14ac:dyDescent="0.25">
      <c r="C497"/>
      <c r="D497"/>
    </row>
    <row r="498" spans="3:4" x14ac:dyDescent="0.25">
      <c r="C498"/>
      <c r="D498"/>
    </row>
    <row r="499" spans="3:4" x14ac:dyDescent="0.25">
      <c r="C499"/>
      <c r="D499"/>
    </row>
    <row r="500" spans="3:4" x14ac:dyDescent="0.25">
      <c r="C500"/>
      <c r="D500"/>
    </row>
    <row r="501" spans="3:4" x14ac:dyDescent="0.25">
      <c r="C501"/>
      <c r="D501"/>
    </row>
    <row r="502" spans="3:4" x14ac:dyDescent="0.25">
      <c r="C502"/>
      <c r="D502"/>
    </row>
    <row r="503" spans="3:4" x14ac:dyDescent="0.25">
      <c r="C503"/>
      <c r="D503"/>
    </row>
    <row r="504" spans="3:4" x14ac:dyDescent="0.25">
      <c r="C504"/>
      <c r="D504"/>
    </row>
    <row r="505" spans="3:4" x14ac:dyDescent="0.25">
      <c r="C505"/>
      <c r="D505"/>
    </row>
    <row r="506" spans="3:4" x14ac:dyDescent="0.25">
      <c r="C506"/>
      <c r="D506"/>
    </row>
    <row r="507" spans="3:4" x14ac:dyDescent="0.25">
      <c r="C507"/>
      <c r="D507"/>
    </row>
    <row r="508" spans="3:4" x14ac:dyDescent="0.25">
      <c r="C508"/>
      <c r="D508"/>
    </row>
    <row r="509" spans="3:4" x14ac:dyDescent="0.25">
      <c r="C509"/>
      <c r="D509"/>
    </row>
    <row r="510" spans="3:4" x14ac:dyDescent="0.25">
      <c r="C510"/>
      <c r="D510"/>
    </row>
    <row r="511" spans="3:4" x14ac:dyDescent="0.25">
      <c r="C511"/>
      <c r="D511"/>
    </row>
    <row r="512" spans="3:4" x14ac:dyDescent="0.25">
      <c r="C512"/>
      <c r="D512"/>
    </row>
    <row r="513" spans="3:4" x14ac:dyDescent="0.25">
      <c r="C513"/>
      <c r="D513"/>
    </row>
    <row r="514" spans="3:4" x14ac:dyDescent="0.25">
      <c r="C514"/>
      <c r="D514"/>
    </row>
    <row r="515" spans="3:4" x14ac:dyDescent="0.25">
      <c r="C515"/>
      <c r="D515"/>
    </row>
    <row r="516" spans="3:4" x14ac:dyDescent="0.25">
      <c r="C516"/>
      <c r="D516"/>
    </row>
    <row r="517" spans="3:4" x14ac:dyDescent="0.25">
      <c r="C517"/>
      <c r="D517"/>
    </row>
    <row r="518" spans="3:4" x14ac:dyDescent="0.25">
      <c r="C518"/>
      <c r="D518"/>
    </row>
    <row r="519" spans="3:4" x14ac:dyDescent="0.25">
      <c r="C519"/>
      <c r="D519"/>
    </row>
    <row r="520" spans="3:4" x14ac:dyDescent="0.25">
      <c r="C520"/>
      <c r="D520"/>
    </row>
    <row r="521" spans="3:4" x14ac:dyDescent="0.25">
      <c r="C521"/>
      <c r="D521"/>
    </row>
    <row r="522" spans="3:4" x14ac:dyDescent="0.25">
      <c r="C522"/>
      <c r="D522"/>
    </row>
    <row r="523" spans="3:4" x14ac:dyDescent="0.25">
      <c r="C523"/>
      <c r="D523"/>
    </row>
    <row r="524" spans="3:4" x14ac:dyDescent="0.25">
      <c r="C524"/>
      <c r="D524"/>
    </row>
    <row r="525" spans="3:4" x14ac:dyDescent="0.25">
      <c r="C525"/>
      <c r="D525"/>
    </row>
    <row r="526" spans="3:4" x14ac:dyDescent="0.25">
      <c r="C526"/>
      <c r="D526"/>
    </row>
    <row r="527" spans="3:4" x14ac:dyDescent="0.25">
      <c r="C527"/>
      <c r="D527"/>
    </row>
    <row r="528" spans="3:4" x14ac:dyDescent="0.25">
      <c r="C528"/>
      <c r="D528"/>
    </row>
    <row r="529" spans="3:4" x14ac:dyDescent="0.25">
      <c r="C529"/>
      <c r="D529"/>
    </row>
    <row r="530" spans="3:4" x14ac:dyDescent="0.25">
      <c r="C530"/>
      <c r="D530"/>
    </row>
    <row r="531" spans="3:4" x14ac:dyDescent="0.25">
      <c r="C531"/>
      <c r="D531"/>
    </row>
    <row r="532" spans="3:4" x14ac:dyDescent="0.25">
      <c r="C532"/>
      <c r="D532"/>
    </row>
    <row r="533" spans="3:4" x14ac:dyDescent="0.25">
      <c r="C533"/>
      <c r="D533"/>
    </row>
    <row r="534" spans="3:4" x14ac:dyDescent="0.25">
      <c r="C534"/>
      <c r="D534"/>
    </row>
    <row r="535" spans="3:4" x14ac:dyDescent="0.25">
      <c r="C535"/>
      <c r="D535"/>
    </row>
    <row r="536" spans="3:4" x14ac:dyDescent="0.25">
      <c r="C536"/>
      <c r="D536"/>
    </row>
    <row r="537" spans="3:4" x14ac:dyDescent="0.25">
      <c r="C537"/>
      <c r="D537"/>
    </row>
    <row r="538" spans="3:4" x14ac:dyDescent="0.25">
      <c r="C538"/>
      <c r="D538"/>
    </row>
    <row r="539" spans="3:4" x14ac:dyDescent="0.25">
      <c r="C539"/>
      <c r="D539"/>
    </row>
    <row r="540" spans="3:4" x14ac:dyDescent="0.25">
      <c r="C540"/>
      <c r="D540"/>
    </row>
    <row r="541" spans="3:4" x14ac:dyDescent="0.25">
      <c r="C541"/>
      <c r="D541"/>
    </row>
    <row r="542" spans="3:4" x14ac:dyDescent="0.25">
      <c r="C542"/>
      <c r="D542"/>
    </row>
    <row r="543" spans="3:4" x14ac:dyDescent="0.25">
      <c r="C543"/>
      <c r="D543"/>
    </row>
    <row r="544" spans="3:4" x14ac:dyDescent="0.25">
      <c r="C544"/>
      <c r="D544"/>
    </row>
    <row r="545" spans="3:4" x14ac:dyDescent="0.25">
      <c r="C545"/>
      <c r="D545"/>
    </row>
    <row r="546" spans="3:4" x14ac:dyDescent="0.25">
      <c r="C546"/>
      <c r="D546"/>
    </row>
    <row r="547" spans="3:4" x14ac:dyDescent="0.25">
      <c r="C547"/>
      <c r="D547"/>
    </row>
    <row r="548" spans="3:4" x14ac:dyDescent="0.25">
      <c r="C548"/>
      <c r="D548"/>
    </row>
    <row r="549" spans="3:4" x14ac:dyDescent="0.25">
      <c r="C549"/>
      <c r="D549"/>
    </row>
    <row r="550" spans="3:4" x14ac:dyDescent="0.25">
      <c r="C550"/>
      <c r="D550"/>
    </row>
    <row r="551" spans="3:4" x14ac:dyDescent="0.25">
      <c r="C551"/>
      <c r="D551"/>
    </row>
    <row r="552" spans="3:4" x14ac:dyDescent="0.25">
      <c r="C552"/>
      <c r="D552"/>
    </row>
    <row r="553" spans="3:4" x14ac:dyDescent="0.25">
      <c r="C553"/>
      <c r="D553"/>
    </row>
    <row r="554" spans="3:4" x14ac:dyDescent="0.25">
      <c r="C554"/>
      <c r="D554"/>
    </row>
    <row r="555" spans="3:4" x14ac:dyDescent="0.25">
      <c r="C555"/>
      <c r="D555"/>
    </row>
    <row r="556" spans="3:4" x14ac:dyDescent="0.25">
      <c r="C556"/>
      <c r="D556"/>
    </row>
    <row r="557" spans="3:4" x14ac:dyDescent="0.25">
      <c r="C557"/>
      <c r="D557"/>
    </row>
    <row r="558" spans="3:4" x14ac:dyDescent="0.25">
      <c r="C558"/>
      <c r="D558"/>
    </row>
    <row r="559" spans="3:4" x14ac:dyDescent="0.25">
      <c r="C559"/>
      <c r="D559"/>
    </row>
    <row r="560" spans="3:4" x14ac:dyDescent="0.25">
      <c r="C560"/>
      <c r="D560"/>
    </row>
    <row r="561" spans="3:4" x14ac:dyDescent="0.25">
      <c r="C561"/>
      <c r="D561"/>
    </row>
    <row r="562" spans="3:4" x14ac:dyDescent="0.25">
      <c r="C562"/>
      <c r="D562"/>
    </row>
    <row r="563" spans="3:4" x14ac:dyDescent="0.25">
      <c r="C563"/>
      <c r="D563"/>
    </row>
    <row r="564" spans="3:4" x14ac:dyDescent="0.25">
      <c r="C564"/>
      <c r="D564"/>
    </row>
    <row r="565" spans="3:4" x14ac:dyDescent="0.25">
      <c r="C565"/>
      <c r="D565"/>
    </row>
    <row r="566" spans="3:4" x14ac:dyDescent="0.25">
      <c r="C566"/>
      <c r="D566"/>
    </row>
    <row r="567" spans="3:4" x14ac:dyDescent="0.25">
      <c r="C567"/>
      <c r="D567"/>
    </row>
    <row r="568" spans="3:4" x14ac:dyDescent="0.25">
      <c r="C568"/>
      <c r="D568"/>
    </row>
    <row r="569" spans="3:4" x14ac:dyDescent="0.25">
      <c r="C569"/>
      <c r="D569"/>
    </row>
    <row r="570" spans="3:4" x14ac:dyDescent="0.25">
      <c r="C570"/>
      <c r="D570"/>
    </row>
    <row r="571" spans="3:4" x14ac:dyDescent="0.25">
      <c r="C571"/>
      <c r="D571"/>
    </row>
    <row r="572" spans="3:4" x14ac:dyDescent="0.25">
      <c r="C572"/>
      <c r="D572"/>
    </row>
    <row r="573" spans="3:4" x14ac:dyDescent="0.25">
      <c r="C573"/>
      <c r="D573"/>
    </row>
    <row r="574" spans="3:4" x14ac:dyDescent="0.25">
      <c r="C574"/>
      <c r="D574"/>
    </row>
    <row r="575" spans="3:4" x14ac:dyDescent="0.25">
      <c r="C575"/>
      <c r="D575"/>
    </row>
    <row r="576" spans="3:4" x14ac:dyDescent="0.25">
      <c r="C576"/>
      <c r="D576"/>
    </row>
    <row r="577" spans="3:4" x14ac:dyDescent="0.25">
      <c r="C577"/>
      <c r="D577"/>
    </row>
    <row r="578" spans="3:4" x14ac:dyDescent="0.25">
      <c r="C578"/>
      <c r="D578"/>
    </row>
    <row r="579" spans="3:4" x14ac:dyDescent="0.25">
      <c r="C579"/>
      <c r="D579"/>
    </row>
    <row r="580" spans="3:4" x14ac:dyDescent="0.25">
      <c r="C580"/>
      <c r="D580"/>
    </row>
    <row r="581" spans="3:4" x14ac:dyDescent="0.25">
      <c r="C581"/>
      <c r="D581"/>
    </row>
    <row r="582" spans="3:4" x14ac:dyDescent="0.25">
      <c r="C582"/>
      <c r="D582"/>
    </row>
    <row r="583" spans="3:4" x14ac:dyDescent="0.25">
      <c r="C583"/>
      <c r="D583"/>
    </row>
    <row r="584" spans="3:4" x14ac:dyDescent="0.25">
      <c r="C584"/>
      <c r="D584"/>
    </row>
    <row r="585" spans="3:4" x14ac:dyDescent="0.25">
      <c r="C585"/>
      <c r="D585"/>
    </row>
    <row r="586" spans="3:4" x14ac:dyDescent="0.25">
      <c r="C586"/>
      <c r="D586"/>
    </row>
    <row r="587" spans="3:4" x14ac:dyDescent="0.25">
      <c r="C587"/>
      <c r="D587"/>
    </row>
    <row r="588" spans="3:4" x14ac:dyDescent="0.25">
      <c r="C588"/>
      <c r="D588"/>
    </row>
    <row r="589" spans="3:4" x14ac:dyDescent="0.25">
      <c r="C589"/>
      <c r="D589"/>
    </row>
    <row r="590" spans="3:4" x14ac:dyDescent="0.25">
      <c r="C590"/>
      <c r="D590"/>
    </row>
    <row r="591" spans="3:4" x14ac:dyDescent="0.25">
      <c r="C591"/>
      <c r="D591"/>
    </row>
    <row r="592" spans="3:4" x14ac:dyDescent="0.25">
      <c r="C592"/>
      <c r="D592"/>
    </row>
    <row r="593" spans="3:4" x14ac:dyDescent="0.25">
      <c r="C593"/>
      <c r="D593"/>
    </row>
    <row r="594" spans="3:4" x14ac:dyDescent="0.25">
      <c r="C594"/>
      <c r="D594"/>
    </row>
    <row r="595" spans="3:4" x14ac:dyDescent="0.25">
      <c r="C595"/>
      <c r="D595"/>
    </row>
    <row r="596" spans="3:4" x14ac:dyDescent="0.25">
      <c r="C596"/>
      <c r="D596"/>
    </row>
    <row r="597" spans="3:4" x14ac:dyDescent="0.25">
      <c r="C597"/>
      <c r="D597"/>
    </row>
    <row r="598" spans="3:4" x14ac:dyDescent="0.25">
      <c r="C598"/>
      <c r="D598"/>
    </row>
    <row r="599" spans="3:4" x14ac:dyDescent="0.25">
      <c r="C599"/>
      <c r="D599"/>
    </row>
    <row r="600" spans="3:4" x14ac:dyDescent="0.25">
      <c r="C600"/>
      <c r="D600"/>
    </row>
    <row r="601" spans="3:4" x14ac:dyDescent="0.25">
      <c r="C601"/>
      <c r="D601"/>
    </row>
    <row r="602" spans="3:4" x14ac:dyDescent="0.25">
      <c r="C602"/>
      <c r="D602"/>
    </row>
    <row r="603" spans="3:4" x14ac:dyDescent="0.25">
      <c r="C603"/>
      <c r="D603"/>
    </row>
    <row r="604" spans="3:4" x14ac:dyDescent="0.25">
      <c r="C604"/>
      <c r="D604"/>
    </row>
    <row r="605" spans="3:4" x14ac:dyDescent="0.25">
      <c r="C605"/>
      <c r="D605"/>
    </row>
    <row r="606" spans="3:4" x14ac:dyDescent="0.25">
      <c r="C606"/>
      <c r="D606"/>
    </row>
    <row r="607" spans="3:4" x14ac:dyDescent="0.25">
      <c r="C607"/>
      <c r="D607"/>
    </row>
    <row r="608" spans="3:4" x14ac:dyDescent="0.25">
      <c r="C608"/>
      <c r="D608"/>
    </row>
    <row r="609" spans="3:4" x14ac:dyDescent="0.25">
      <c r="C609"/>
      <c r="D609"/>
    </row>
    <row r="610" spans="3:4" x14ac:dyDescent="0.25">
      <c r="C610"/>
      <c r="D610"/>
    </row>
    <row r="611" spans="3:4" x14ac:dyDescent="0.25">
      <c r="C611"/>
      <c r="D611"/>
    </row>
    <row r="612" spans="3:4" x14ac:dyDescent="0.25">
      <c r="C612"/>
      <c r="D612"/>
    </row>
    <row r="613" spans="3:4" x14ac:dyDescent="0.25">
      <c r="C613"/>
      <c r="D613"/>
    </row>
    <row r="614" spans="3:4" x14ac:dyDescent="0.25">
      <c r="C614"/>
      <c r="D614"/>
    </row>
    <row r="615" spans="3:4" x14ac:dyDescent="0.25">
      <c r="C615"/>
      <c r="D615"/>
    </row>
    <row r="616" spans="3:4" x14ac:dyDescent="0.25">
      <c r="C616"/>
      <c r="D616"/>
    </row>
    <row r="617" spans="3:4" x14ac:dyDescent="0.25">
      <c r="C617"/>
      <c r="D617"/>
    </row>
    <row r="618" spans="3:4" x14ac:dyDescent="0.25">
      <c r="C618"/>
      <c r="D618"/>
    </row>
    <row r="619" spans="3:4" x14ac:dyDescent="0.25">
      <c r="C619"/>
      <c r="D619"/>
    </row>
    <row r="620" spans="3:4" x14ac:dyDescent="0.25">
      <c r="C620"/>
      <c r="D620"/>
    </row>
    <row r="621" spans="3:4" x14ac:dyDescent="0.25">
      <c r="C621"/>
      <c r="D621"/>
    </row>
    <row r="622" spans="3:4" x14ac:dyDescent="0.25">
      <c r="C622"/>
      <c r="D622"/>
    </row>
    <row r="623" spans="3:4" x14ac:dyDescent="0.25">
      <c r="C623"/>
      <c r="D623"/>
    </row>
    <row r="624" spans="3:4" x14ac:dyDescent="0.25">
      <c r="C624"/>
      <c r="D624"/>
    </row>
    <row r="625" spans="3:4" x14ac:dyDescent="0.25">
      <c r="C625"/>
      <c r="D625"/>
    </row>
    <row r="626" spans="3:4" x14ac:dyDescent="0.25">
      <c r="C626"/>
      <c r="D626"/>
    </row>
    <row r="627" spans="3:4" x14ac:dyDescent="0.25">
      <c r="C627"/>
      <c r="D627"/>
    </row>
    <row r="628" spans="3:4" x14ac:dyDescent="0.25">
      <c r="C628"/>
      <c r="D628"/>
    </row>
    <row r="629" spans="3:4" x14ac:dyDescent="0.25">
      <c r="C629"/>
      <c r="D629"/>
    </row>
    <row r="630" spans="3:4" x14ac:dyDescent="0.25">
      <c r="C630"/>
      <c r="D630"/>
    </row>
    <row r="631" spans="3:4" x14ac:dyDescent="0.25">
      <c r="C631"/>
      <c r="D631"/>
    </row>
    <row r="632" spans="3:4" x14ac:dyDescent="0.25">
      <c r="C632"/>
      <c r="D632"/>
    </row>
    <row r="633" spans="3:4" x14ac:dyDescent="0.25">
      <c r="C633"/>
      <c r="D633"/>
    </row>
    <row r="634" spans="3:4" x14ac:dyDescent="0.25">
      <c r="C634"/>
      <c r="D634"/>
    </row>
    <row r="635" spans="3:4" x14ac:dyDescent="0.25">
      <c r="C635"/>
      <c r="D635"/>
    </row>
    <row r="636" spans="3:4" x14ac:dyDescent="0.25">
      <c r="C636"/>
      <c r="D636"/>
    </row>
    <row r="637" spans="3:4" x14ac:dyDescent="0.25">
      <c r="C637"/>
      <c r="D637"/>
    </row>
    <row r="638" spans="3:4" x14ac:dyDescent="0.25">
      <c r="C638"/>
      <c r="D638"/>
    </row>
    <row r="639" spans="3:4" x14ac:dyDescent="0.25">
      <c r="C639"/>
      <c r="D639"/>
    </row>
    <row r="640" spans="3:4" x14ac:dyDescent="0.25">
      <c r="C640"/>
      <c r="D640"/>
    </row>
    <row r="641" spans="3:4" x14ac:dyDescent="0.25">
      <c r="C641"/>
      <c r="D641"/>
    </row>
    <row r="642" spans="3:4" x14ac:dyDescent="0.25">
      <c r="C642"/>
      <c r="D642"/>
    </row>
    <row r="643" spans="3:4" x14ac:dyDescent="0.25">
      <c r="C643"/>
      <c r="D643"/>
    </row>
    <row r="644" spans="3:4" x14ac:dyDescent="0.25">
      <c r="C644"/>
      <c r="D644"/>
    </row>
    <row r="645" spans="3:4" x14ac:dyDescent="0.25">
      <c r="C645"/>
      <c r="D645"/>
    </row>
    <row r="646" spans="3:4" x14ac:dyDescent="0.25">
      <c r="C646"/>
      <c r="D646"/>
    </row>
    <row r="647" spans="3:4" x14ac:dyDescent="0.25">
      <c r="C647"/>
      <c r="D647"/>
    </row>
    <row r="648" spans="3:4" x14ac:dyDescent="0.25">
      <c r="C648"/>
      <c r="D648"/>
    </row>
    <row r="649" spans="3:4" x14ac:dyDescent="0.25">
      <c r="C649"/>
      <c r="D649"/>
    </row>
    <row r="650" spans="3:4" x14ac:dyDescent="0.25">
      <c r="C650"/>
      <c r="D650"/>
    </row>
    <row r="651" spans="3:4" x14ac:dyDescent="0.25">
      <c r="C651"/>
      <c r="D651"/>
    </row>
    <row r="652" spans="3:4" x14ac:dyDescent="0.25">
      <c r="C652"/>
      <c r="D652"/>
    </row>
    <row r="653" spans="3:4" x14ac:dyDescent="0.25">
      <c r="C653"/>
      <c r="D653"/>
    </row>
    <row r="654" spans="3:4" x14ac:dyDescent="0.25">
      <c r="C654"/>
      <c r="D654"/>
    </row>
    <row r="655" spans="3:4" x14ac:dyDescent="0.25">
      <c r="C655"/>
      <c r="D655"/>
    </row>
    <row r="656" spans="3:4" x14ac:dyDescent="0.25">
      <c r="C656"/>
      <c r="D656"/>
    </row>
    <row r="657" spans="3:4" x14ac:dyDescent="0.25">
      <c r="C657"/>
      <c r="D657"/>
    </row>
    <row r="658" spans="3:4" x14ac:dyDescent="0.25">
      <c r="C658"/>
      <c r="D658"/>
    </row>
    <row r="659" spans="3:4" x14ac:dyDescent="0.25">
      <c r="C659"/>
      <c r="D659"/>
    </row>
    <row r="660" spans="3:4" x14ac:dyDescent="0.25">
      <c r="C660"/>
      <c r="D660"/>
    </row>
    <row r="661" spans="3:4" x14ac:dyDescent="0.25">
      <c r="C661"/>
      <c r="D661"/>
    </row>
    <row r="662" spans="3:4" x14ac:dyDescent="0.25">
      <c r="C662"/>
      <c r="D662"/>
    </row>
    <row r="663" spans="3:4" x14ac:dyDescent="0.25">
      <c r="C663"/>
      <c r="D663"/>
    </row>
    <row r="664" spans="3:4" x14ac:dyDescent="0.25">
      <c r="C664"/>
      <c r="D664"/>
    </row>
    <row r="665" spans="3:4" x14ac:dyDescent="0.25">
      <c r="C665"/>
      <c r="D665"/>
    </row>
    <row r="666" spans="3:4" x14ac:dyDescent="0.25">
      <c r="C666"/>
      <c r="D666"/>
    </row>
    <row r="667" spans="3:4" x14ac:dyDescent="0.25">
      <c r="C667"/>
      <c r="D667"/>
    </row>
    <row r="668" spans="3:4" x14ac:dyDescent="0.25">
      <c r="C668"/>
      <c r="D668"/>
    </row>
    <row r="669" spans="3:4" x14ac:dyDescent="0.25">
      <c r="C669"/>
      <c r="D669"/>
    </row>
    <row r="670" spans="3:4" x14ac:dyDescent="0.25">
      <c r="C670"/>
      <c r="D670"/>
    </row>
    <row r="671" spans="3:4" x14ac:dyDescent="0.25">
      <c r="C671"/>
      <c r="D671"/>
    </row>
    <row r="672" spans="3:4" x14ac:dyDescent="0.25">
      <c r="C672"/>
      <c r="D672"/>
    </row>
    <row r="673" spans="3:4" x14ac:dyDescent="0.25">
      <c r="C673"/>
      <c r="D673"/>
    </row>
    <row r="674" spans="3:4" x14ac:dyDescent="0.25">
      <c r="C674"/>
      <c r="D674"/>
    </row>
    <row r="675" spans="3:4" x14ac:dyDescent="0.25">
      <c r="C675"/>
      <c r="D675"/>
    </row>
    <row r="676" spans="3:4" x14ac:dyDescent="0.25">
      <c r="C676"/>
      <c r="D676"/>
    </row>
    <row r="677" spans="3:4" x14ac:dyDescent="0.25">
      <c r="C677"/>
      <c r="D677"/>
    </row>
    <row r="678" spans="3:4" x14ac:dyDescent="0.25">
      <c r="C678"/>
      <c r="D678"/>
    </row>
    <row r="679" spans="3:4" x14ac:dyDescent="0.25">
      <c r="C679"/>
      <c r="D679"/>
    </row>
    <row r="680" spans="3:4" x14ac:dyDescent="0.25">
      <c r="C680"/>
      <c r="D680"/>
    </row>
    <row r="681" spans="3:4" x14ac:dyDescent="0.25">
      <c r="C681"/>
      <c r="D681"/>
    </row>
    <row r="682" spans="3:4" x14ac:dyDescent="0.25">
      <c r="C682"/>
      <c r="D682"/>
    </row>
    <row r="683" spans="3:4" x14ac:dyDescent="0.25">
      <c r="C683"/>
      <c r="D683"/>
    </row>
    <row r="684" spans="3:4" x14ac:dyDescent="0.25">
      <c r="C684"/>
      <c r="D684"/>
    </row>
    <row r="685" spans="3:4" x14ac:dyDescent="0.25">
      <c r="C685"/>
      <c r="D685"/>
    </row>
    <row r="686" spans="3:4" x14ac:dyDescent="0.25">
      <c r="C686"/>
      <c r="D686"/>
    </row>
    <row r="687" spans="3:4" x14ac:dyDescent="0.25">
      <c r="C687"/>
      <c r="D687"/>
    </row>
    <row r="688" spans="3:4" x14ac:dyDescent="0.25">
      <c r="C688"/>
      <c r="D688"/>
    </row>
    <row r="689" spans="3:4" x14ac:dyDescent="0.25">
      <c r="C689"/>
      <c r="D689"/>
    </row>
    <row r="690" spans="3:4" x14ac:dyDescent="0.25">
      <c r="C690"/>
      <c r="D690"/>
    </row>
    <row r="691" spans="3:4" x14ac:dyDescent="0.25">
      <c r="C691"/>
      <c r="D691"/>
    </row>
    <row r="692" spans="3:4" x14ac:dyDescent="0.25">
      <c r="C692"/>
      <c r="D692"/>
    </row>
    <row r="693" spans="3:4" x14ac:dyDescent="0.25">
      <c r="C693"/>
      <c r="D693"/>
    </row>
    <row r="694" spans="3:4" x14ac:dyDescent="0.25">
      <c r="C694"/>
      <c r="D694"/>
    </row>
    <row r="695" spans="3:4" x14ac:dyDescent="0.25">
      <c r="C695"/>
      <c r="D695"/>
    </row>
    <row r="696" spans="3:4" x14ac:dyDescent="0.25">
      <c r="C696"/>
      <c r="D696"/>
    </row>
    <row r="697" spans="3:4" x14ac:dyDescent="0.25">
      <c r="C697"/>
      <c r="D697"/>
    </row>
    <row r="698" spans="3:4" x14ac:dyDescent="0.25">
      <c r="C698"/>
      <c r="D698"/>
    </row>
    <row r="699" spans="3:4" x14ac:dyDescent="0.25">
      <c r="C699"/>
      <c r="D699"/>
    </row>
    <row r="700" spans="3:4" x14ac:dyDescent="0.25">
      <c r="C700"/>
      <c r="D700"/>
    </row>
    <row r="701" spans="3:4" x14ac:dyDescent="0.25">
      <c r="C701"/>
      <c r="D701"/>
    </row>
    <row r="702" spans="3:4" x14ac:dyDescent="0.25">
      <c r="C702"/>
      <c r="D702"/>
    </row>
    <row r="703" spans="3:4" x14ac:dyDescent="0.25">
      <c r="C703"/>
      <c r="D703"/>
    </row>
    <row r="704" spans="3:4" x14ac:dyDescent="0.25">
      <c r="C704"/>
      <c r="D704"/>
    </row>
    <row r="705" spans="3:4" x14ac:dyDescent="0.25">
      <c r="C705"/>
      <c r="D705"/>
    </row>
    <row r="706" spans="3:4" x14ac:dyDescent="0.25">
      <c r="C706"/>
      <c r="D706"/>
    </row>
    <row r="707" spans="3:4" x14ac:dyDescent="0.25">
      <c r="C707"/>
      <c r="D707"/>
    </row>
    <row r="708" spans="3:4" x14ac:dyDescent="0.25">
      <c r="C708"/>
      <c r="D708"/>
    </row>
    <row r="709" spans="3:4" x14ac:dyDescent="0.25">
      <c r="C709"/>
      <c r="D709"/>
    </row>
    <row r="710" spans="3:4" x14ac:dyDescent="0.25">
      <c r="C710"/>
      <c r="D710"/>
    </row>
    <row r="711" spans="3:4" x14ac:dyDescent="0.25">
      <c r="C711"/>
      <c r="D711"/>
    </row>
    <row r="712" spans="3:4" x14ac:dyDescent="0.25">
      <c r="C712"/>
      <c r="D712"/>
    </row>
    <row r="713" spans="3:4" x14ac:dyDescent="0.25">
      <c r="C713"/>
      <c r="D713"/>
    </row>
    <row r="714" spans="3:4" x14ac:dyDescent="0.25">
      <c r="C714"/>
      <c r="D714"/>
    </row>
    <row r="715" spans="3:4" x14ac:dyDescent="0.25">
      <c r="C715"/>
      <c r="D715"/>
    </row>
    <row r="716" spans="3:4" x14ac:dyDescent="0.25">
      <c r="C716"/>
      <c r="D716"/>
    </row>
    <row r="717" spans="3:4" x14ac:dyDescent="0.25">
      <c r="C717"/>
      <c r="D717"/>
    </row>
    <row r="718" spans="3:4" x14ac:dyDescent="0.25">
      <c r="C718"/>
      <c r="D718"/>
    </row>
    <row r="719" spans="3:4" x14ac:dyDescent="0.25">
      <c r="C719"/>
      <c r="D719"/>
    </row>
    <row r="720" spans="3:4" x14ac:dyDescent="0.25">
      <c r="C720"/>
      <c r="D720"/>
    </row>
    <row r="721" spans="3:4" x14ac:dyDescent="0.25">
      <c r="C721"/>
      <c r="D721"/>
    </row>
    <row r="722" spans="3:4" x14ac:dyDescent="0.25">
      <c r="C722"/>
      <c r="D722"/>
    </row>
    <row r="723" spans="3:4" x14ac:dyDescent="0.25">
      <c r="C723"/>
      <c r="D723"/>
    </row>
    <row r="724" spans="3:4" x14ac:dyDescent="0.25">
      <c r="C724"/>
      <c r="D724"/>
    </row>
    <row r="725" spans="3:4" x14ac:dyDescent="0.25">
      <c r="C725"/>
      <c r="D725"/>
    </row>
    <row r="726" spans="3:4" x14ac:dyDescent="0.25">
      <c r="C726"/>
      <c r="D726"/>
    </row>
    <row r="727" spans="3:4" x14ac:dyDescent="0.25">
      <c r="C727"/>
      <c r="D727"/>
    </row>
    <row r="728" spans="3:4" x14ac:dyDescent="0.25">
      <c r="C728"/>
      <c r="D728"/>
    </row>
    <row r="729" spans="3:4" x14ac:dyDescent="0.25">
      <c r="C729"/>
      <c r="D729"/>
    </row>
    <row r="730" spans="3:4" x14ac:dyDescent="0.25">
      <c r="C730"/>
      <c r="D730"/>
    </row>
    <row r="731" spans="3:4" x14ac:dyDescent="0.25">
      <c r="C731"/>
      <c r="D731"/>
    </row>
    <row r="732" spans="3:4" x14ac:dyDescent="0.25">
      <c r="C732"/>
      <c r="D732"/>
    </row>
    <row r="733" spans="3:4" x14ac:dyDescent="0.25">
      <c r="C733"/>
      <c r="D733"/>
    </row>
    <row r="734" spans="3:4" x14ac:dyDescent="0.25">
      <c r="C734"/>
      <c r="D734"/>
    </row>
    <row r="735" spans="3:4" x14ac:dyDescent="0.25">
      <c r="C735"/>
      <c r="D735"/>
    </row>
    <row r="736" spans="3:4" x14ac:dyDescent="0.25">
      <c r="C736"/>
      <c r="D736"/>
    </row>
    <row r="737" spans="3:4" x14ac:dyDescent="0.25">
      <c r="C737"/>
      <c r="D737"/>
    </row>
    <row r="738" spans="3:4" x14ac:dyDescent="0.25">
      <c r="C738"/>
      <c r="D738"/>
    </row>
    <row r="739" spans="3:4" x14ac:dyDescent="0.25">
      <c r="C739"/>
      <c r="D739"/>
    </row>
    <row r="740" spans="3:4" x14ac:dyDescent="0.25">
      <c r="C740"/>
      <c r="D740"/>
    </row>
    <row r="741" spans="3:4" x14ac:dyDescent="0.25">
      <c r="C741"/>
      <c r="D741"/>
    </row>
    <row r="742" spans="3:4" x14ac:dyDescent="0.25">
      <c r="C742"/>
      <c r="D742"/>
    </row>
    <row r="743" spans="3:4" x14ac:dyDescent="0.25">
      <c r="C743"/>
      <c r="D743"/>
    </row>
    <row r="744" spans="3:4" x14ac:dyDescent="0.25">
      <c r="C744"/>
      <c r="D744"/>
    </row>
    <row r="745" spans="3:4" x14ac:dyDescent="0.25">
      <c r="C745"/>
      <c r="D745"/>
    </row>
    <row r="746" spans="3:4" x14ac:dyDescent="0.25">
      <c r="C746"/>
      <c r="D746"/>
    </row>
    <row r="747" spans="3:4" x14ac:dyDescent="0.25">
      <c r="C747"/>
      <c r="D747"/>
    </row>
    <row r="748" spans="3:4" x14ac:dyDescent="0.25">
      <c r="C748"/>
      <c r="D748"/>
    </row>
    <row r="749" spans="3:4" x14ac:dyDescent="0.25">
      <c r="C749"/>
      <c r="D749"/>
    </row>
    <row r="750" spans="3:4" x14ac:dyDescent="0.25">
      <c r="C750"/>
      <c r="D750"/>
    </row>
    <row r="751" spans="3:4" x14ac:dyDescent="0.25">
      <c r="C751"/>
      <c r="D751"/>
    </row>
    <row r="752" spans="3:4" x14ac:dyDescent="0.25">
      <c r="C752"/>
      <c r="D752"/>
    </row>
    <row r="753" spans="3:4" x14ac:dyDescent="0.25">
      <c r="C753"/>
      <c r="D753"/>
    </row>
    <row r="754" spans="3:4" x14ac:dyDescent="0.25">
      <c r="C754"/>
      <c r="D754"/>
    </row>
    <row r="755" spans="3:4" x14ac:dyDescent="0.25">
      <c r="C755"/>
      <c r="D755"/>
    </row>
    <row r="756" spans="3:4" x14ac:dyDescent="0.25">
      <c r="C756"/>
      <c r="D756"/>
    </row>
    <row r="757" spans="3:4" x14ac:dyDescent="0.25">
      <c r="C757"/>
      <c r="D757"/>
    </row>
    <row r="758" spans="3:4" x14ac:dyDescent="0.25">
      <c r="C758"/>
      <c r="D758"/>
    </row>
    <row r="759" spans="3:4" x14ac:dyDescent="0.25">
      <c r="C759"/>
      <c r="D759"/>
    </row>
    <row r="760" spans="3:4" x14ac:dyDescent="0.25">
      <c r="C760"/>
      <c r="D760"/>
    </row>
    <row r="761" spans="3:4" x14ac:dyDescent="0.25">
      <c r="C761"/>
      <c r="D761"/>
    </row>
    <row r="762" spans="3:4" x14ac:dyDescent="0.25">
      <c r="C762"/>
      <c r="D762"/>
    </row>
    <row r="763" spans="3:4" x14ac:dyDescent="0.25">
      <c r="C763"/>
      <c r="D763"/>
    </row>
    <row r="764" spans="3:4" x14ac:dyDescent="0.25">
      <c r="C764"/>
      <c r="D764"/>
    </row>
    <row r="765" spans="3:4" x14ac:dyDescent="0.25">
      <c r="C765"/>
      <c r="D765"/>
    </row>
    <row r="766" spans="3:4" x14ac:dyDescent="0.25">
      <c r="C766"/>
      <c r="D766"/>
    </row>
    <row r="767" spans="3:4" x14ac:dyDescent="0.25">
      <c r="C767"/>
      <c r="D767"/>
    </row>
    <row r="768" spans="3:4" x14ac:dyDescent="0.25">
      <c r="C768"/>
      <c r="D768"/>
    </row>
    <row r="769" spans="3:4" x14ac:dyDescent="0.25">
      <c r="C769"/>
      <c r="D769"/>
    </row>
    <row r="770" spans="3:4" x14ac:dyDescent="0.25">
      <c r="C770"/>
      <c r="D770"/>
    </row>
    <row r="771" spans="3:4" x14ac:dyDescent="0.25">
      <c r="C771"/>
      <c r="D771"/>
    </row>
    <row r="772" spans="3:4" x14ac:dyDescent="0.25">
      <c r="C772"/>
      <c r="D772"/>
    </row>
    <row r="773" spans="3:4" x14ac:dyDescent="0.25">
      <c r="C773"/>
      <c r="D773"/>
    </row>
    <row r="774" spans="3:4" x14ac:dyDescent="0.25">
      <c r="C774"/>
      <c r="D774"/>
    </row>
    <row r="775" spans="3:4" x14ac:dyDescent="0.25">
      <c r="C775"/>
      <c r="D775"/>
    </row>
    <row r="776" spans="3:4" x14ac:dyDescent="0.25">
      <c r="C776"/>
      <c r="D776"/>
    </row>
    <row r="777" spans="3:4" x14ac:dyDescent="0.25">
      <c r="C777"/>
      <c r="D777"/>
    </row>
    <row r="778" spans="3:4" x14ac:dyDescent="0.25">
      <c r="C778"/>
      <c r="D778"/>
    </row>
    <row r="779" spans="3:4" x14ac:dyDescent="0.25">
      <c r="C779"/>
      <c r="D779"/>
    </row>
    <row r="780" spans="3:4" x14ac:dyDescent="0.25">
      <c r="C780"/>
      <c r="D780"/>
    </row>
    <row r="781" spans="3:4" x14ac:dyDescent="0.25">
      <c r="C781"/>
      <c r="D781"/>
    </row>
    <row r="782" spans="3:4" x14ac:dyDescent="0.25">
      <c r="C782"/>
      <c r="D782"/>
    </row>
    <row r="783" spans="3:4" x14ac:dyDescent="0.25">
      <c r="C783"/>
      <c r="D783"/>
    </row>
    <row r="784" spans="3:4" x14ac:dyDescent="0.25">
      <c r="C784"/>
      <c r="D784"/>
    </row>
    <row r="785" spans="3:4" x14ac:dyDescent="0.25">
      <c r="C785"/>
      <c r="D785"/>
    </row>
    <row r="786" spans="3:4" x14ac:dyDescent="0.25">
      <c r="C786"/>
      <c r="D786"/>
    </row>
    <row r="787" spans="3:4" x14ac:dyDescent="0.25">
      <c r="C787"/>
      <c r="D787"/>
    </row>
    <row r="788" spans="3:4" x14ac:dyDescent="0.25">
      <c r="C788"/>
      <c r="D788"/>
    </row>
    <row r="789" spans="3:4" x14ac:dyDescent="0.25">
      <c r="C789"/>
      <c r="D789"/>
    </row>
    <row r="790" spans="3:4" x14ac:dyDescent="0.25">
      <c r="C790"/>
      <c r="D790"/>
    </row>
    <row r="791" spans="3:4" x14ac:dyDescent="0.25">
      <c r="C791"/>
      <c r="D791"/>
    </row>
    <row r="792" spans="3:4" x14ac:dyDescent="0.25">
      <c r="C792"/>
      <c r="D792"/>
    </row>
    <row r="793" spans="3:4" x14ac:dyDescent="0.25">
      <c r="C793"/>
      <c r="D793"/>
    </row>
    <row r="794" spans="3:4" x14ac:dyDescent="0.25">
      <c r="C794"/>
      <c r="D794"/>
    </row>
    <row r="795" spans="3:4" x14ac:dyDescent="0.25">
      <c r="C795"/>
      <c r="D795"/>
    </row>
    <row r="796" spans="3:4" x14ac:dyDescent="0.25">
      <c r="C796"/>
      <c r="D796"/>
    </row>
    <row r="797" spans="3:4" x14ac:dyDescent="0.25">
      <c r="C797"/>
      <c r="D797"/>
    </row>
    <row r="798" spans="3:4" x14ac:dyDescent="0.25">
      <c r="C798"/>
      <c r="D798"/>
    </row>
    <row r="799" spans="3:4" x14ac:dyDescent="0.25">
      <c r="C799"/>
      <c r="D799"/>
    </row>
    <row r="800" spans="3:4" x14ac:dyDescent="0.25">
      <c r="C800"/>
      <c r="D800"/>
    </row>
    <row r="801" spans="3:4" x14ac:dyDescent="0.25">
      <c r="C801"/>
      <c r="D801"/>
    </row>
    <row r="802" spans="3:4" x14ac:dyDescent="0.25">
      <c r="C802"/>
      <c r="D802"/>
    </row>
    <row r="803" spans="3:4" x14ac:dyDescent="0.25">
      <c r="C803"/>
      <c r="D803"/>
    </row>
    <row r="804" spans="3:4" x14ac:dyDescent="0.25">
      <c r="C804"/>
      <c r="D804"/>
    </row>
    <row r="805" spans="3:4" x14ac:dyDescent="0.25">
      <c r="C805"/>
      <c r="D805"/>
    </row>
    <row r="806" spans="3:4" x14ac:dyDescent="0.25">
      <c r="C806"/>
      <c r="D806"/>
    </row>
    <row r="807" spans="3:4" x14ac:dyDescent="0.25">
      <c r="C807"/>
      <c r="D807"/>
    </row>
    <row r="808" spans="3:4" x14ac:dyDescent="0.25">
      <c r="C808"/>
      <c r="D808"/>
    </row>
    <row r="809" spans="3:4" x14ac:dyDescent="0.25">
      <c r="C809"/>
      <c r="D809"/>
    </row>
    <row r="810" spans="3:4" x14ac:dyDescent="0.25">
      <c r="C810"/>
      <c r="D810"/>
    </row>
    <row r="811" spans="3:4" x14ac:dyDescent="0.25">
      <c r="C811"/>
      <c r="D811"/>
    </row>
    <row r="812" spans="3:4" x14ac:dyDescent="0.25">
      <c r="C812"/>
      <c r="D812"/>
    </row>
    <row r="813" spans="3:4" x14ac:dyDescent="0.25">
      <c r="C813"/>
      <c r="D813"/>
    </row>
    <row r="814" spans="3:4" x14ac:dyDescent="0.25">
      <c r="C814"/>
      <c r="D814"/>
    </row>
    <row r="815" spans="3:4" x14ac:dyDescent="0.25">
      <c r="C815"/>
      <c r="D815"/>
    </row>
    <row r="816" spans="3:4" x14ac:dyDescent="0.25">
      <c r="C816"/>
      <c r="D816"/>
    </row>
    <row r="817" spans="3:4" x14ac:dyDescent="0.25">
      <c r="C817"/>
      <c r="D817"/>
    </row>
    <row r="818" spans="3:4" x14ac:dyDescent="0.25">
      <c r="C818"/>
      <c r="D818"/>
    </row>
    <row r="819" spans="3:4" x14ac:dyDescent="0.25">
      <c r="C819"/>
      <c r="D819"/>
    </row>
    <row r="820" spans="3:4" x14ac:dyDescent="0.25">
      <c r="C820"/>
      <c r="D820"/>
    </row>
    <row r="821" spans="3:4" x14ac:dyDescent="0.25">
      <c r="C821"/>
      <c r="D821"/>
    </row>
    <row r="822" spans="3:4" x14ac:dyDescent="0.25">
      <c r="C822"/>
      <c r="D822"/>
    </row>
    <row r="823" spans="3:4" x14ac:dyDescent="0.25">
      <c r="C823"/>
      <c r="D823"/>
    </row>
    <row r="824" spans="3:4" x14ac:dyDescent="0.25">
      <c r="C824"/>
      <c r="D824"/>
    </row>
    <row r="825" spans="3:4" x14ac:dyDescent="0.25">
      <c r="C825"/>
      <c r="D825"/>
    </row>
    <row r="826" spans="3:4" x14ac:dyDescent="0.25">
      <c r="C826"/>
      <c r="D826"/>
    </row>
    <row r="827" spans="3:4" x14ac:dyDescent="0.25">
      <c r="C827"/>
      <c r="D827"/>
    </row>
    <row r="828" spans="3:4" x14ac:dyDescent="0.25">
      <c r="C828"/>
      <c r="D828"/>
    </row>
    <row r="829" spans="3:4" x14ac:dyDescent="0.25">
      <c r="C829"/>
      <c r="D829"/>
    </row>
    <row r="830" spans="3:4" x14ac:dyDescent="0.25">
      <c r="C830"/>
      <c r="D830"/>
    </row>
    <row r="831" spans="3:4" x14ac:dyDescent="0.25">
      <c r="C831"/>
      <c r="D831"/>
    </row>
    <row r="832" spans="3:4" x14ac:dyDescent="0.25">
      <c r="C832"/>
      <c r="D832"/>
    </row>
    <row r="833" spans="3:4" x14ac:dyDescent="0.25">
      <c r="C833"/>
      <c r="D833"/>
    </row>
    <row r="834" spans="3:4" x14ac:dyDescent="0.25">
      <c r="C834"/>
      <c r="D834"/>
    </row>
    <row r="835" spans="3:4" x14ac:dyDescent="0.25">
      <c r="C835"/>
      <c r="D835"/>
    </row>
    <row r="836" spans="3:4" x14ac:dyDescent="0.25">
      <c r="C836"/>
      <c r="D836"/>
    </row>
    <row r="837" spans="3:4" x14ac:dyDescent="0.25">
      <c r="C837"/>
      <c r="D837"/>
    </row>
    <row r="838" spans="3:4" x14ac:dyDescent="0.25">
      <c r="C838"/>
      <c r="D838"/>
    </row>
    <row r="839" spans="3:4" x14ac:dyDescent="0.25">
      <c r="C839"/>
      <c r="D839"/>
    </row>
    <row r="840" spans="3:4" x14ac:dyDescent="0.25">
      <c r="C840"/>
      <c r="D840"/>
    </row>
    <row r="841" spans="3:4" x14ac:dyDescent="0.25">
      <c r="C841"/>
      <c r="D841"/>
    </row>
    <row r="842" spans="3:4" x14ac:dyDescent="0.25">
      <c r="C842"/>
      <c r="D842"/>
    </row>
    <row r="843" spans="3:4" x14ac:dyDescent="0.25">
      <c r="C843"/>
      <c r="D843"/>
    </row>
    <row r="844" spans="3:4" x14ac:dyDescent="0.25">
      <c r="C844"/>
      <c r="D844"/>
    </row>
    <row r="845" spans="3:4" x14ac:dyDescent="0.25">
      <c r="C845"/>
      <c r="D845"/>
    </row>
    <row r="846" spans="3:4" x14ac:dyDescent="0.25">
      <c r="C846"/>
      <c r="D846"/>
    </row>
    <row r="847" spans="3:4" x14ac:dyDescent="0.25">
      <c r="C847"/>
      <c r="D847"/>
    </row>
    <row r="848" spans="3:4" x14ac:dyDescent="0.25">
      <c r="C848"/>
      <c r="D848"/>
    </row>
    <row r="849" spans="3:4" x14ac:dyDescent="0.25">
      <c r="C849"/>
      <c r="D849"/>
    </row>
    <row r="850" spans="3:4" x14ac:dyDescent="0.25">
      <c r="C850"/>
      <c r="D850"/>
    </row>
    <row r="851" spans="3:4" x14ac:dyDescent="0.25">
      <c r="C851"/>
      <c r="D851"/>
    </row>
    <row r="852" spans="3:4" x14ac:dyDescent="0.25">
      <c r="C852"/>
      <c r="D852"/>
    </row>
    <row r="853" spans="3:4" x14ac:dyDescent="0.25">
      <c r="C853"/>
      <c r="D853"/>
    </row>
    <row r="854" spans="3:4" x14ac:dyDescent="0.25">
      <c r="C854"/>
      <c r="D854"/>
    </row>
    <row r="855" spans="3:4" x14ac:dyDescent="0.25">
      <c r="C855"/>
      <c r="D855"/>
    </row>
    <row r="856" spans="3:4" x14ac:dyDescent="0.25">
      <c r="C856"/>
      <c r="D856"/>
    </row>
    <row r="857" spans="3:4" x14ac:dyDescent="0.25">
      <c r="C857"/>
      <c r="D857"/>
    </row>
    <row r="858" spans="3:4" x14ac:dyDescent="0.25">
      <c r="C858"/>
      <c r="D858"/>
    </row>
    <row r="859" spans="3:4" x14ac:dyDescent="0.25">
      <c r="C859"/>
      <c r="D859"/>
    </row>
    <row r="860" spans="3:4" x14ac:dyDescent="0.25">
      <c r="C860"/>
      <c r="D860"/>
    </row>
    <row r="861" spans="3:4" x14ac:dyDescent="0.25">
      <c r="C861"/>
      <c r="D861"/>
    </row>
    <row r="862" spans="3:4" x14ac:dyDescent="0.25">
      <c r="C862"/>
      <c r="D862"/>
    </row>
    <row r="863" spans="3:4" x14ac:dyDescent="0.25">
      <c r="C863"/>
      <c r="D863"/>
    </row>
    <row r="864" spans="3:4" x14ac:dyDescent="0.25">
      <c r="C864"/>
      <c r="D864"/>
    </row>
    <row r="865" spans="3:4" x14ac:dyDescent="0.25">
      <c r="C865"/>
      <c r="D865"/>
    </row>
    <row r="866" spans="3:4" x14ac:dyDescent="0.25">
      <c r="C866"/>
      <c r="D866"/>
    </row>
    <row r="867" spans="3:4" x14ac:dyDescent="0.25">
      <c r="C867"/>
      <c r="D867"/>
    </row>
    <row r="868" spans="3:4" x14ac:dyDescent="0.25">
      <c r="C868"/>
      <c r="D868"/>
    </row>
    <row r="869" spans="3:4" x14ac:dyDescent="0.25">
      <c r="C869"/>
      <c r="D869"/>
    </row>
    <row r="870" spans="3:4" x14ac:dyDescent="0.25">
      <c r="C870"/>
      <c r="D870"/>
    </row>
    <row r="871" spans="3:4" x14ac:dyDescent="0.25">
      <c r="C871"/>
      <c r="D871"/>
    </row>
    <row r="872" spans="3:4" x14ac:dyDescent="0.25">
      <c r="C872"/>
      <c r="D872"/>
    </row>
    <row r="873" spans="3:4" x14ac:dyDescent="0.25">
      <c r="C873"/>
      <c r="D873"/>
    </row>
    <row r="874" spans="3:4" x14ac:dyDescent="0.25">
      <c r="C874"/>
      <c r="D874"/>
    </row>
    <row r="875" spans="3:4" x14ac:dyDescent="0.25">
      <c r="C875"/>
      <c r="D875"/>
    </row>
    <row r="876" spans="3:4" x14ac:dyDescent="0.25">
      <c r="C876"/>
      <c r="D876"/>
    </row>
    <row r="877" spans="3:4" x14ac:dyDescent="0.25">
      <c r="C877"/>
      <c r="D877"/>
    </row>
    <row r="878" spans="3:4" x14ac:dyDescent="0.25">
      <c r="C878"/>
      <c r="D878"/>
    </row>
    <row r="879" spans="3:4" x14ac:dyDescent="0.25">
      <c r="C879"/>
      <c r="D879"/>
    </row>
    <row r="880" spans="3:4" x14ac:dyDescent="0.25">
      <c r="C880"/>
      <c r="D880"/>
    </row>
    <row r="881" spans="3:4" x14ac:dyDescent="0.25">
      <c r="C881"/>
      <c r="D881"/>
    </row>
    <row r="882" spans="3:4" x14ac:dyDescent="0.25">
      <c r="C882"/>
      <c r="D882"/>
    </row>
    <row r="883" spans="3:4" x14ac:dyDescent="0.25">
      <c r="C883"/>
      <c r="D883"/>
    </row>
    <row r="884" spans="3:4" x14ac:dyDescent="0.25">
      <c r="C884"/>
      <c r="D884"/>
    </row>
    <row r="885" spans="3:4" x14ac:dyDescent="0.25">
      <c r="C885"/>
      <c r="D885"/>
    </row>
    <row r="886" spans="3:4" x14ac:dyDescent="0.25">
      <c r="C886"/>
      <c r="D886"/>
    </row>
    <row r="887" spans="3:4" x14ac:dyDescent="0.25">
      <c r="C887"/>
      <c r="D887"/>
    </row>
    <row r="888" spans="3:4" x14ac:dyDescent="0.25">
      <c r="C888"/>
      <c r="D888"/>
    </row>
    <row r="889" spans="3:4" x14ac:dyDescent="0.25">
      <c r="C889"/>
      <c r="D889"/>
    </row>
    <row r="890" spans="3:4" x14ac:dyDescent="0.25">
      <c r="C890"/>
      <c r="D890"/>
    </row>
    <row r="891" spans="3:4" x14ac:dyDescent="0.25">
      <c r="C891"/>
      <c r="D891"/>
    </row>
    <row r="892" spans="3:4" x14ac:dyDescent="0.25">
      <c r="C892"/>
      <c r="D892"/>
    </row>
    <row r="893" spans="3:4" x14ac:dyDescent="0.25">
      <c r="C893"/>
      <c r="D893"/>
    </row>
    <row r="894" spans="3:4" x14ac:dyDescent="0.25">
      <c r="C894"/>
      <c r="D894"/>
    </row>
    <row r="895" spans="3:4" x14ac:dyDescent="0.25">
      <c r="C895"/>
      <c r="D895"/>
    </row>
    <row r="896" spans="3:4" x14ac:dyDescent="0.25">
      <c r="C896"/>
      <c r="D896"/>
    </row>
    <row r="897" spans="3:4" x14ac:dyDescent="0.25">
      <c r="C897"/>
      <c r="D897"/>
    </row>
    <row r="898" spans="3:4" x14ac:dyDescent="0.25">
      <c r="C898"/>
      <c r="D898"/>
    </row>
    <row r="899" spans="3:4" x14ac:dyDescent="0.25">
      <c r="C899"/>
      <c r="D899"/>
    </row>
    <row r="900" spans="3:4" x14ac:dyDescent="0.25">
      <c r="C900"/>
      <c r="D900"/>
    </row>
    <row r="901" spans="3:4" x14ac:dyDescent="0.25">
      <c r="C901"/>
      <c r="D901"/>
    </row>
    <row r="902" spans="3:4" x14ac:dyDescent="0.25">
      <c r="C902"/>
      <c r="D902"/>
    </row>
    <row r="903" spans="3:4" x14ac:dyDescent="0.25">
      <c r="C903"/>
      <c r="D903"/>
    </row>
    <row r="904" spans="3:4" x14ac:dyDescent="0.25">
      <c r="C904"/>
      <c r="D904"/>
    </row>
    <row r="905" spans="3:4" x14ac:dyDescent="0.25">
      <c r="C905"/>
      <c r="D905"/>
    </row>
    <row r="906" spans="3:4" x14ac:dyDescent="0.25">
      <c r="C906"/>
      <c r="D906"/>
    </row>
    <row r="907" spans="3:4" x14ac:dyDescent="0.25">
      <c r="C907"/>
      <c r="D907"/>
    </row>
    <row r="908" spans="3:4" x14ac:dyDescent="0.25">
      <c r="C908"/>
      <c r="D908"/>
    </row>
    <row r="909" spans="3:4" x14ac:dyDescent="0.25">
      <c r="C909"/>
      <c r="D909"/>
    </row>
    <row r="910" spans="3:4" x14ac:dyDescent="0.25">
      <c r="C910"/>
      <c r="D910"/>
    </row>
    <row r="911" spans="3:4" x14ac:dyDescent="0.25">
      <c r="C911"/>
      <c r="D911"/>
    </row>
    <row r="912" spans="3:4" x14ac:dyDescent="0.25">
      <c r="C912"/>
      <c r="D912"/>
    </row>
    <row r="913" spans="3:4" x14ac:dyDescent="0.25">
      <c r="C913"/>
      <c r="D913"/>
    </row>
    <row r="914" spans="3:4" x14ac:dyDescent="0.25">
      <c r="C914"/>
      <c r="D914"/>
    </row>
    <row r="915" spans="3:4" x14ac:dyDescent="0.25">
      <c r="C915"/>
      <c r="D915"/>
    </row>
    <row r="916" spans="3:4" x14ac:dyDescent="0.25">
      <c r="C916"/>
      <c r="D916"/>
    </row>
    <row r="917" spans="3:4" x14ac:dyDescent="0.25">
      <c r="C917"/>
      <c r="D917"/>
    </row>
    <row r="918" spans="3:4" x14ac:dyDescent="0.25">
      <c r="C918"/>
      <c r="D918"/>
    </row>
    <row r="919" spans="3:4" x14ac:dyDescent="0.25">
      <c r="C919"/>
      <c r="D919"/>
    </row>
    <row r="920" spans="3:4" x14ac:dyDescent="0.25">
      <c r="C920"/>
      <c r="D920"/>
    </row>
    <row r="921" spans="3:4" x14ac:dyDescent="0.25">
      <c r="C921"/>
      <c r="D921"/>
    </row>
    <row r="922" spans="3:4" x14ac:dyDescent="0.25">
      <c r="C922"/>
      <c r="D922"/>
    </row>
    <row r="923" spans="3:4" x14ac:dyDescent="0.25">
      <c r="C923"/>
      <c r="D923"/>
    </row>
    <row r="924" spans="3:4" x14ac:dyDescent="0.25">
      <c r="C924"/>
      <c r="D924"/>
    </row>
    <row r="925" spans="3:4" x14ac:dyDescent="0.25">
      <c r="C925"/>
      <c r="D925"/>
    </row>
    <row r="926" spans="3:4" x14ac:dyDescent="0.25">
      <c r="C926"/>
      <c r="D926"/>
    </row>
    <row r="927" spans="3:4" x14ac:dyDescent="0.25">
      <c r="C927"/>
      <c r="D927"/>
    </row>
    <row r="928" spans="3:4" x14ac:dyDescent="0.25">
      <c r="C928"/>
      <c r="D928"/>
    </row>
    <row r="929" spans="3:4" x14ac:dyDescent="0.25">
      <c r="C929"/>
      <c r="D929"/>
    </row>
    <row r="930" spans="3:4" x14ac:dyDescent="0.25">
      <c r="C930"/>
      <c r="D930"/>
    </row>
    <row r="931" spans="3:4" x14ac:dyDescent="0.25">
      <c r="C931"/>
      <c r="D931"/>
    </row>
    <row r="932" spans="3:4" x14ac:dyDescent="0.25">
      <c r="C932"/>
      <c r="D932"/>
    </row>
    <row r="933" spans="3:4" x14ac:dyDescent="0.25">
      <c r="C933"/>
      <c r="D933"/>
    </row>
    <row r="934" spans="3:4" x14ac:dyDescent="0.25">
      <c r="C934"/>
      <c r="D934"/>
    </row>
    <row r="935" spans="3:4" x14ac:dyDescent="0.25">
      <c r="C935"/>
      <c r="D935"/>
    </row>
    <row r="936" spans="3:4" x14ac:dyDescent="0.25">
      <c r="C936"/>
      <c r="D936"/>
    </row>
    <row r="937" spans="3:4" x14ac:dyDescent="0.25">
      <c r="C937"/>
      <c r="D937"/>
    </row>
    <row r="938" spans="3:4" x14ac:dyDescent="0.25">
      <c r="C938"/>
      <c r="D938"/>
    </row>
    <row r="939" spans="3:4" x14ac:dyDescent="0.25">
      <c r="C939"/>
      <c r="D939"/>
    </row>
    <row r="940" spans="3:4" x14ac:dyDescent="0.25">
      <c r="C940"/>
      <c r="D940"/>
    </row>
    <row r="941" spans="3:4" x14ac:dyDescent="0.25">
      <c r="C941"/>
      <c r="D941"/>
    </row>
    <row r="942" spans="3:4" x14ac:dyDescent="0.25">
      <c r="C942"/>
      <c r="D942"/>
    </row>
    <row r="943" spans="3:4" x14ac:dyDescent="0.25">
      <c r="C943"/>
      <c r="D943"/>
    </row>
    <row r="944" spans="3:4" x14ac:dyDescent="0.25">
      <c r="C944"/>
      <c r="D944"/>
    </row>
    <row r="945" spans="3:4" x14ac:dyDescent="0.25">
      <c r="C945"/>
      <c r="D945"/>
    </row>
    <row r="946" spans="3:4" x14ac:dyDescent="0.25">
      <c r="C946"/>
      <c r="D946"/>
    </row>
    <row r="947" spans="3:4" x14ac:dyDescent="0.25">
      <c r="C947"/>
      <c r="D947"/>
    </row>
    <row r="948" spans="3:4" x14ac:dyDescent="0.25">
      <c r="C948"/>
      <c r="D948"/>
    </row>
    <row r="949" spans="3:4" x14ac:dyDescent="0.25">
      <c r="C949"/>
      <c r="D949"/>
    </row>
    <row r="950" spans="3:4" x14ac:dyDescent="0.25">
      <c r="C950"/>
      <c r="D950"/>
    </row>
    <row r="951" spans="3:4" x14ac:dyDescent="0.25">
      <c r="C951"/>
      <c r="D951"/>
    </row>
    <row r="952" spans="3:4" x14ac:dyDescent="0.25">
      <c r="C952"/>
      <c r="D952"/>
    </row>
    <row r="953" spans="3:4" x14ac:dyDescent="0.25">
      <c r="C953"/>
      <c r="D953"/>
    </row>
    <row r="954" spans="3:4" x14ac:dyDescent="0.25">
      <c r="C954"/>
      <c r="D954"/>
    </row>
    <row r="955" spans="3:4" x14ac:dyDescent="0.25">
      <c r="C955"/>
      <c r="D955"/>
    </row>
    <row r="956" spans="3:4" x14ac:dyDescent="0.25">
      <c r="C956"/>
      <c r="D956"/>
    </row>
    <row r="957" spans="3:4" x14ac:dyDescent="0.25">
      <c r="C957"/>
      <c r="D957"/>
    </row>
    <row r="958" spans="3:4" x14ac:dyDescent="0.25">
      <c r="C958"/>
      <c r="D958"/>
    </row>
    <row r="959" spans="3:4" x14ac:dyDescent="0.25">
      <c r="C959"/>
      <c r="D959"/>
    </row>
    <row r="960" spans="3:4" x14ac:dyDescent="0.25">
      <c r="C960"/>
      <c r="D960"/>
    </row>
    <row r="961" spans="3:4" x14ac:dyDescent="0.25">
      <c r="C961"/>
      <c r="D961"/>
    </row>
    <row r="962" spans="3:4" x14ac:dyDescent="0.25">
      <c r="C962"/>
      <c r="D962"/>
    </row>
  </sheetData>
  <mergeCells count="2">
    <mergeCell ref="C1:D2"/>
    <mergeCell ref="A1:B2"/>
  </mergeCells>
  <pageMargins left="0.7" right="0.7" top="0.75" bottom="0.75" header="0.3" footer="0.3"/>
  <pageSetup orientation="portrait" horizontalDpi="4294967295" verticalDpi="4294967295"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806"/>
  <sheetViews>
    <sheetView zoomScale="110" zoomScaleNormal="110" workbookViewId="0">
      <selection activeCell="C3" sqref="C1:D1048576"/>
    </sheetView>
  </sheetViews>
  <sheetFormatPr baseColWidth="10" defaultColWidth="11.42578125" defaultRowHeight="15" x14ac:dyDescent="0.25"/>
  <cols>
    <col min="1" max="1" width="42" style="1" bestFit="1" customWidth="1"/>
    <col min="2" max="2" width="13.7109375" style="1" customWidth="1"/>
    <col min="3" max="3" width="42" style="1" bestFit="1" customWidth="1"/>
    <col min="4" max="4" width="27.85546875" style="1" customWidth="1"/>
    <col min="5" max="5" width="12" style="1" customWidth="1"/>
    <col min="6" max="6" width="23.42578125" style="1" customWidth="1"/>
    <col min="7" max="8" width="11.42578125" style="1"/>
    <col min="9" max="9" width="12.42578125" style="1" customWidth="1"/>
    <col min="10" max="29" width="11.42578125" style="1"/>
  </cols>
  <sheetData>
    <row r="1" spans="1:29" s="119" customFormat="1" x14ac:dyDescent="0.25">
      <c r="A1" s="216">
        <v>2020</v>
      </c>
      <c r="B1" s="217"/>
      <c r="C1" s="216">
        <v>2021</v>
      </c>
      <c r="D1" s="217"/>
      <c r="E1" s="2"/>
      <c r="F1" s="2"/>
      <c r="G1" s="2"/>
      <c r="H1" s="2"/>
      <c r="I1" s="2"/>
      <c r="J1" s="2"/>
      <c r="K1" s="2"/>
      <c r="L1" s="2"/>
      <c r="M1" s="2"/>
      <c r="N1" s="2"/>
      <c r="O1" s="2"/>
      <c r="P1" s="2"/>
      <c r="Q1" s="2"/>
      <c r="R1" s="2"/>
      <c r="S1" s="2"/>
      <c r="T1" s="2"/>
      <c r="U1" s="2"/>
      <c r="V1" s="2"/>
      <c r="W1" s="2"/>
      <c r="X1" s="2"/>
      <c r="Y1" s="2"/>
      <c r="Z1" s="2"/>
      <c r="AA1" s="2"/>
      <c r="AB1" s="2"/>
      <c r="AC1" s="2"/>
    </row>
    <row r="2" spans="1:29" s="119" customFormat="1" ht="15.75" thickBot="1" x14ac:dyDescent="0.3">
      <c r="A2" s="218"/>
      <c r="B2" s="219"/>
      <c r="C2" s="218"/>
      <c r="D2" s="219"/>
      <c r="E2" s="2"/>
      <c r="F2" s="2"/>
      <c r="G2" s="2"/>
      <c r="H2" s="2"/>
      <c r="I2" s="2"/>
      <c r="J2" s="2"/>
      <c r="K2" s="2"/>
      <c r="L2" s="2"/>
      <c r="M2" s="2"/>
      <c r="N2" s="2"/>
      <c r="O2" s="2"/>
      <c r="P2" s="2"/>
      <c r="Q2" s="2"/>
      <c r="R2" s="2"/>
      <c r="S2" s="2"/>
      <c r="T2" s="2"/>
      <c r="U2" s="2"/>
      <c r="V2" s="2"/>
      <c r="W2" s="2"/>
      <c r="X2" s="2"/>
      <c r="Y2" s="2"/>
      <c r="Z2" s="2"/>
      <c r="AA2" s="2"/>
      <c r="AB2" s="2"/>
      <c r="AC2" s="2"/>
    </row>
    <row r="3" spans="1:29" ht="15.75" thickBot="1" x14ac:dyDescent="0.3">
      <c r="A3" s="1" t="s">
        <v>1932</v>
      </c>
      <c r="B3" s="1" t="s">
        <v>1934</v>
      </c>
      <c r="C3" s="1" t="s">
        <v>1932</v>
      </c>
      <c r="D3" s="1" t="s">
        <v>1934</v>
      </c>
      <c r="E3" s="66"/>
      <c r="F3" s="66"/>
      <c r="G3" s="67" t="s">
        <v>1936</v>
      </c>
      <c r="H3" s="68" t="s">
        <v>1937</v>
      </c>
      <c r="I3" s="69" t="s">
        <v>1938</v>
      </c>
      <c r="J3" s="66"/>
      <c r="K3" s="66"/>
      <c r="L3" s="66"/>
      <c r="M3" s="66"/>
      <c r="N3" s="66"/>
      <c r="O3" s="66"/>
      <c r="P3" s="66"/>
      <c r="Q3" s="66"/>
      <c r="R3" s="66"/>
      <c r="S3" s="66"/>
      <c r="T3" s="66"/>
      <c r="U3" s="66"/>
      <c r="V3" s="66"/>
      <c r="W3" s="66"/>
      <c r="X3" s="66"/>
      <c r="Y3" s="66"/>
      <c r="Z3" s="66"/>
      <c r="AA3" s="66"/>
      <c r="AB3" s="66"/>
      <c r="AC3" s="66"/>
    </row>
    <row r="4" spans="1:29" x14ac:dyDescent="0.25">
      <c r="A4" s="73" t="s">
        <v>1944</v>
      </c>
      <c r="B4" s="74">
        <v>116</v>
      </c>
      <c r="C4" s="134" t="s">
        <v>9</v>
      </c>
      <c r="D4" s="140">
        <v>99</v>
      </c>
      <c r="F4" s="44" t="str">
        <f>+C4</f>
        <v xml:space="preserve">TALENTO HUMANO </v>
      </c>
      <c r="G4" s="33">
        <f>+GETPIVOTDATA("SUBCLASIFICACION",$C$3,"CLASIFICACION","TALENTO HUMANO ")</f>
        <v>99</v>
      </c>
      <c r="H4" s="34">
        <f t="shared" ref="H4:H10" si="0">+G4/$G$12</f>
        <v>0.27500000000000002</v>
      </c>
      <c r="I4" s="35">
        <f>+H4</f>
        <v>0.27500000000000002</v>
      </c>
    </row>
    <row r="5" spans="1:29" x14ac:dyDescent="0.25">
      <c r="A5" s="75" t="s">
        <v>563</v>
      </c>
      <c r="B5" s="74">
        <v>9</v>
      </c>
      <c r="C5" s="137" t="s">
        <v>10</v>
      </c>
      <c r="D5" s="140">
        <v>27</v>
      </c>
      <c r="F5" s="40" t="str">
        <f>+C15</f>
        <v>NORMATIVIDAD</v>
      </c>
      <c r="G5" s="33">
        <f>+GETPIVOTDATA("SUBCLASIFICACION",$C$3,"CLASIFICACION","MÉTODO")</f>
        <v>94</v>
      </c>
      <c r="H5" s="34">
        <f t="shared" si="0"/>
        <v>0.26111111111111113</v>
      </c>
      <c r="I5" s="35">
        <f t="shared" ref="I5:I10" si="1">+I4+H5</f>
        <v>0.5361111111111112</v>
      </c>
    </row>
    <row r="6" spans="1:29" x14ac:dyDescent="0.25">
      <c r="A6" s="75" t="s">
        <v>52</v>
      </c>
      <c r="B6" s="74">
        <v>29</v>
      </c>
      <c r="C6" s="137" t="s">
        <v>18</v>
      </c>
      <c r="D6" s="140">
        <v>18</v>
      </c>
      <c r="F6" s="41" t="str">
        <f>+C27</f>
        <v>RELACIONAMIENTO</v>
      </c>
      <c r="G6" s="33">
        <f>+GETPIVOTDATA("SUBCLASIFICACION",$C$3,"CLASIFICACION","MANAGEMENT")</f>
        <v>71</v>
      </c>
      <c r="H6" s="34">
        <f t="shared" si="0"/>
        <v>0.19722222222222222</v>
      </c>
      <c r="I6" s="35">
        <f t="shared" si="1"/>
        <v>0.73333333333333339</v>
      </c>
    </row>
    <row r="7" spans="1:29" ht="27.75" customHeight="1" x14ac:dyDescent="0.25">
      <c r="A7" s="75" t="s">
        <v>1945</v>
      </c>
      <c r="B7" s="74">
        <v>12</v>
      </c>
      <c r="C7" s="133" t="s">
        <v>173</v>
      </c>
      <c r="D7">
        <v>17</v>
      </c>
      <c r="F7" s="41" t="str">
        <f>+C34</f>
        <v>INSTALACIONES</v>
      </c>
      <c r="G7" s="33">
        <f>+GETPIVOTDATA("SUBCLASIFICACION",$C$3,"CLASIFICACION","EQUIPO, TECNOLOGÍA E INFRAESTRUCTURA")</f>
        <v>54</v>
      </c>
      <c r="H7" s="34">
        <f t="shared" si="0"/>
        <v>0.15</v>
      </c>
      <c r="I7" s="35">
        <f t="shared" si="1"/>
        <v>0.88333333333333341</v>
      </c>
    </row>
    <row r="8" spans="1:29" x14ac:dyDescent="0.25">
      <c r="A8" s="75" t="s">
        <v>1606</v>
      </c>
      <c r="B8" s="74">
        <v>11</v>
      </c>
      <c r="C8" s="137" t="s">
        <v>15</v>
      </c>
      <c r="D8" s="140">
        <v>14</v>
      </c>
      <c r="F8" s="40" t="str">
        <f>+C41</f>
        <v xml:space="preserve">SEGUIMIENTO Y CONTROL </v>
      </c>
      <c r="G8" s="33">
        <f>+GETPIVOTDATA("SUBCLASIFICACION",$C$3,"CLASIFICACION","MEDICIÓN ")</f>
        <v>19</v>
      </c>
      <c r="H8" s="34">
        <f t="shared" si="0"/>
        <v>5.2777777777777778E-2</v>
      </c>
      <c r="I8" s="35">
        <f t="shared" si="1"/>
        <v>0.93611111111111123</v>
      </c>
    </row>
    <row r="9" spans="1:29" x14ac:dyDescent="0.25">
      <c r="A9" s="75" t="s">
        <v>70</v>
      </c>
      <c r="B9" s="74">
        <v>22</v>
      </c>
      <c r="C9" s="133" t="s">
        <v>145</v>
      </c>
      <c r="D9">
        <v>9</v>
      </c>
      <c r="F9" s="40" t="str">
        <f>+C46</f>
        <v>MONEDA</v>
      </c>
      <c r="G9" s="33">
        <f>+GETPIVOTDATA("SUBCLASIFICACION",$C$3,"CLASIFICACION","MEDIO AMBIENTE")</f>
        <v>15</v>
      </c>
      <c r="H9" s="34">
        <f t="shared" si="0"/>
        <v>4.1666666666666664E-2</v>
      </c>
      <c r="I9" s="35">
        <f t="shared" si="1"/>
        <v>0.97777777777777786</v>
      </c>
    </row>
    <row r="10" spans="1:29" x14ac:dyDescent="0.25">
      <c r="A10" s="75" t="s">
        <v>1946</v>
      </c>
      <c r="B10" s="74">
        <v>8</v>
      </c>
      <c r="C10" s="133" t="s">
        <v>26</v>
      </c>
      <c r="D10">
        <v>8</v>
      </c>
      <c r="F10" s="40" t="str">
        <f>+A51</f>
        <v>MONEDA</v>
      </c>
      <c r="G10" s="33">
        <f>+GETPIVOTDATA("SUBCLASIFICACION",$C$3,"CLASIFICACION","MONEDA")</f>
        <v>8</v>
      </c>
      <c r="H10" s="34">
        <f t="shared" si="0"/>
        <v>2.2222222222222223E-2</v>
      </c>
      <c r="I10" s="35">
        <f t="shared" si="1"/>
        <v>1</v>
      </c>
    </row>
    <row r="11" spans="1:29" ht="15.75" thickBot="1" x14ac:dyDescent="0.3">
      <c r="A11" s="75" t="s">
        <v>22</v>
      </c>
      <c r="B11" s="74">
        <v>3</v>
      </c>
      <c r="C11" s="137" t="s">
        <v>33</v>
      </c>
      <c r="D11" s="140">
        <v>5</v>
      </c>
      <c r="F11" s="42" t="s">
        <v>1940</v>
      </c>
      <c r="G11" s="36">
        <f>SUM(G4:G10)</f>
        <v>360</v>
      </c>
      <c r="H11" s="37"/>
      <c r="I11" s="38"/>
    </row>
    <row r="12" spans="1:29" ht="15.75" thickBot="1" x14ac:dyDescent="0.3">
      <c r="A12" s="75" t="s">
        <v>1947</v>
      </c>
      <c r="B12" s="74">
        <v>9</v>
      </c>
      <c r="C12" s="133" t="s">
        <v>1875</v>
      </c>
      <c r="D12">
        <v>1</v>
      </c>
      <c r="G12" s="43">
        <f>SUM(G4:G10)</f>
        <v>360</v>
      </c>
    </row>
    <row r="13" spans="1:29" x14ac:dyDescent="0.25">
      <c r="A13" s="75" t="s">
        <v>1948</v>
      </c>
      <c r="B13" s="74">
        <v>3</v>
      </c>
      <c r="C13" s="134" t="s">
        <v>1837</v>
      </c>
      <c r="D13">
        <v>94</v>
      </c>
    </row>
    <row r="14" spans="1:29" x14ac:dyDescent="0.25">
      <c r="A14" s="75" t="s">
        <v>20</v>
      </c>
      <c r="B14" s="74">
        <v>7</v>
      </c>
      <c r="C14" s="133" t="s">
        <v>52</v>
      </c>
      <c r="D14">
        <v>25</v>
      </c>
    </row>
    <row r="15" spans="1:29" x14ac:dyDescent="0.25">
      <c r="A15" s="75" t="s">
        <v>487</v>
      </c>
      <c r="B15" s="74">
        <v>3</v>
      </c>
      <c r="C15" s="133" t="s">
        <v>70</v>
      </c>
      <c r="D15">
        <v>16</v>
      </c>
    </row>
    <row r="16" spans="1:29" x14ac:dyDescent="0.25">
      <c r="A16" s="73" t="s">
        <v>9</v>
      </c>
      <c r="B16" s="74">
        <v>115</v>
      </c>
      <c r="C16" s="133" t="s">
        <v>138</v>
      </c>
      <c r="D16">
        <v>10</v>
      </c>
    </row>
    <row r="17" spans="1:4" x14ac:dyDescent="0.25">
      <c r="A17" s="75" t="s">
        <v>293</v>
      </c>
      <c r="B17" s="74">
        <v>1</v>
      </c>
      <c r="C17" s="133" t="s">
        <v>563</v>
      </c>
      <c r="D17">
        <v>9</v>
      </c>
    </row>
    <row r="18" spans="1:4" x14ac:dyDescent="0.25">
      <c r="A18" s="75" t="s">
        <v>10</v>
      </c>
      <c r="B18" s="74">
        <v>29</v>
      </c>
      <c r="C18" s="133" t="s">
        <v>71</v>
      </c>
      <c r="D18">
        <v>9</v>
      </c>
    </row>
    <row r="19" spans="1:4" x14ac:dyDescent="0.25">
      <c r="A19" s="75" t="s">
        <v>1841</v>
      </c>
      <c r="B19" s="74">
        <v>1</v>
      </c>
      <c r="C19" s="133" t="s">
        <v>1846</v>
      </c>
      <c r="D19">
        <v>7</v>
      </c>
    </row>
    <row r="20" spans="1:4" ht="15.75" customHeight="1" x14ac:dyDescent="0.25">
      <c r="A20" s="75" t="s">
        <v>18</v>
      </c>
      <c r="B20" s="74">
        <v>20</v>
      </c>
      <c r="C20" s="133" t="s">
        <v>20</v>
      </c>
      <c r="D20">
        <v>6</v>
      </c>
    </row>
    <row r="21" spans="1:4" x14ac:dyDescent="0.25">
      <c r="A21" s="75" t="s">
        <v>33</v>
      </c>
      <c r="B21" s="74">
        <v>7</v>
      </c>
      <c r="C21" s="133" t="s">
        <v>56</v>
      </c>
      <c r="D21">
        <v>5</v>
      </c>
    </row>
    <row r="22" spans="1:4" x14ac:dyDescent="0.25">
      <c r="A22" s="75" t="s">
        <v>15</v>
      </c>
      <c r="B22" s="74">
        <v>18</v>
      </c>
      <c r="C22" s="133" t="s">
        <v>22</v>
      </c>
      <c r="D22">
        <v>3</v>
      </c>
    </row>
    <row r="23" spans="1:4" x14ac:dyDescent="0.25">
      <c r="A23" s="75" t="s">
        <v>41</v>
      </c>
      <c r="B23" s="74">
        <v>2</v>
      </c>
      <c r="C23" s="133" t="s">
        <v>487</v>
      </c>
      <c r="D23">
        <v>2</v>
      </c>
    </row>
    <row r="24" spans="1:4" x14ac:dyDescent="0.25">
      <c r="A24" s="75" t="s">
        <v>145</v>
      </c>
      <c r="B24" s="74">
        <v>12</v>
      </c>
      <c r="C24" s="133" t="s">
        <v>62</v>
      </c>
      <c r="D24">
        <v>2</v>
      </c>
    </row>
    <row r="25" spans="1:4" x14ac:dyDescent="0.25">
      <c r="A25" s="75" t="s">
        <v>173</v>
      </c>
      <c r="B25" s="74">
        <v>19</v>
      </c>
      <c r="C25" s="134" t="s">
        <v>11</v>
      </c>
      <c r="D25" s="140">
        <v>71</v>
      </c>
    </row>
    <row r="26" spans="1:4" x14ac:dyDescent="0.25">
      <c r="A26" s="75" t="s">
        <v>26</v>
      </c>
      <c r="B26" s="74">
        <v>6</v>
      </c>
      <c r="C26" s="137" t="s">
        <v>1841</v>
      </c>
      <c r="D26" s="140">
        <v>21</v>
      </c>
    </row>
    <row r="27" spans="1:4" x14ac:dyDescent="0.25">
      <c r="A27" s="73" t="s">
        <v>11</v>
      </c>
      <c r="B27" s="74">
        <v>83</v>
      </c>
      <c r="C27" s="137" t="s">
        <v>172</v>
      </c>
      <c r="D27" s="140">
        <v>13</v>
      </c>
    </row>
    <row r="28" spans="1:4" x14ac:dyDescent="0.25">
      <c r="A28" s="75" t="s">
        <v>1639</v>
      </c>
      <c r="B28" s="74">
        <v>13</v>
      </c>
      <c r="C28" s="137" t="s">
        <v>1639</v>
      </c>
      <c r="D28" s="140">
        <v>13</v>
      </c>
    </row>
    <row r="29" spans="1:4" x14ac:dyDescent="0.25">
      <c r="A29" s="75" t="s">
        <v>45</v>
      </c>
      <c r="B29" s="74">
        <v>17</v>
      </c>
      <c r="C29" s="137" t="s">
        <v>142</v>
      </c>
      <c r="D29" s="140">
        <v>12</v>
      </c>
    </row>
    <row r="30" spans="1:4" x14ac:dyDescent="0.25">
      <c r="A30" s="75" t="s">
        <v>142</v>
      </c>
      <c r="B30" s="74">
        <v>9</v>
      </c>
      <c r="C30" s="137" t="s">
        <v>45</v>
      </c>
      <c r="D30" s="140">
        <v>7</v>
      </c>
    </row>
    <row r="31" spans="1:4" x14ac:dyDescent="0.25">
      <c r="A31" s="75" t="s">
        <v>1841</v>
      </c>
      <c r="B31" s="74">
        <v>27</v>
      </c>
      <c r="C31" s="133" t="s">
        <v>1884</v>
      </c>
      <c r="D31">
        <v>5</v>
      </c>
    </row>
    <row r="32" spans="1:4" x14ac:dyDescent="0.25">
      <c r="A32" s="75" t="s">
        <v>1884</v>
      </c>
      <c r="B32" s="74">
        <v>5</v>
      </c>
      <c r="C32" s="134" t="s">
        <v>12</v>
      </c>
      <c r="D32" s="140">
        <v>54</v>
      </c>
    </row>
    <row r="33" spans="1:4" x14ac:dyDescent="0.25">
      <c r="A33" s="75" t="s">
        <v>172</v>
      </c>
      <c r="B33" s="74">
        <v>9</v>
      </c>
      <c r="C33" s="133" t="s">
        <v>32</v>
      </c>
      <c r="D33">
        <v>26</v>
      </c>
    </row>
    <row r="34" spans="1:4" x14ac:dyDescent="0.25">
      <c r="A34" s="75" t="s">
        <v>174</v>
      </c>
      <c r="B34" s="74">
        <v>1</v>
      </c>
      <c r="C34" s="137" t="s">
        <v>13</v>
      </c>
      <c r="D34" s="140">
        <v>13</v>
      </c>
    </row>
    <row r="35" spans="1:4" x14ac:dyDescent="0.25">
      <c r="A35" s="75" t="s">
        <v>1649</v>
      </c>
      <c r="B35" s="74">
        <v>2</v>
      </c>
      <c r="C35" s="137" t="s">
        <v>714</v>
      </c>
      <c r="D35" s="140">
        <v>7</v>
      </c>
    </row>
    <row r="36" spans="1:4" x14ac:dyDescent="0.25">
      <c r="A36" s="73" t="s">
        <v>12</v>
      </c>
      <c r="B36" s="74">
        <v>53</v>
      </c>
      <c r="C36" s="133" t="s">
        <v>1573</v>
      </c>
      <c r="D36">
        <v>4</v>
      </c>
    </row>
    <row r="37" spans="1:4" x14ac:dyDescent="0.25">
      <c r="A37" s="75" t="s">
        <v>13</v>
      </c>
      <c r="B37" s="74">
        <v>10</v>
      </c>
      <c r="C37" s="137" t="s">
        <v>93</v>
      </c>
      <c r="D37" s="140">
        <v>3</v>
      </c>
    </row>
    <row r="38" spans="1:4" x14ac:dyDescent="0.25">
      <c r="A38" s="75" t="s">
        <v>15</v>
      </c>
      <c r="B38" s="74">
        <v>1</v>
      </c>
      <c r="C38" s="137" t="s">
        <v>35</v>
      </c>
      <c r="D38" s="140">
        <v>1</v>
      </c>
    </row>
    <row r="39" spans="1:4" x14ac:dyDescent="0.25">
      <c r="A39" s="75" t="s">
        <v>35</v>
      </c>
      <c r="B39" s="74">
        <v>1</v>
      </c>
      <c r="C39" s="134" t="s">
        <v>16</v>
      </c>
      <c r="D39">
        <v>19</v>
      </c>
    </row>
    <row r="40" spans="1:4" x14ac:dyDescent="0.25">
      <c r="A40" s="75" t="s">
        <v>93</v>
      </c>
      <c r="B40" s="74">
        <v>2</v>
      </c>
      <c r="C40" s="133" t="s">
        <v>144</v>
      </c>
      <c r="D40">
        <v>13</v>
      </c>
    </row>
    <row r="41" spans="1:4" x14ac:dyDescent="0.25">
      <c r="A41" s="75" t="s">
        <v>714</v>
      </c>
      <c r="B41" s="74">
        <v>9</v>
      </c>
      <c r="C41" s="133" t="s">
        <v>17</v>
      </c>
      <c r="D41">
        <v>3</v>
      </c>
    </row>
    <row r="42" spans="1:4" x14ac:dyDescent="0.25">
      <c r="A42" s="75" t="s">
        <v>32</v>
      </c>
      <c r="B42" s="74">
        <v>25</v>
      </c>
      <c r="C42" s="133" t="s">
        <v>106</v>
      </c>
      <c r="D42">
        <v>2</v>
      </c>
    </row>
    <row r="43" spans="1:4" x14ac:dyDescent="0.25">
      <c r="A43" s="75" t="s">
        <v>1573</v>
      </c>
      <c r="B43" s="74">
        <v>5</v>
      </c>
      <c r="C43" s="133" t="s">
        <v>103</v>
      </c>
      <c r="D43">
        <v>1</v>
      </c>
    </row>
    <row r="44" spans="1:4" x14ac:dyDescent="0.25">
      <c r="A44" s="73" t="s">
        <v>1949</v>
      </c>
      <c r="B44" s="74">
        <v>27</v>
      </c>
      <c r="C44" s="134" t="s">
        <v>59</v>
      </c>
      <c r="D44" s="140">
        <v>15</v>
      </c>
    </row>
    <row r="45" spans="1:4" x14ac:dyDescent="0.25">
      <c r="A45" s="75" t="s">
        <v>144</v>
      </c>
      <c r="B45" s="74">
        <v>20</v>
      </c>
      <c r="C45" s="137" t="s">
        <v>293</v>
      </c>
      <c r="D45" s="140">
        <v>15</v>
      </c>
    </row>
    <row r="46" spans="1:4" x14ac:dyDescent="0.25">
      <c r="A46" s="75" t="s">
        <v>17</v>
      </c>
      <c r="B46" s="74">
        <v>4</v>
      </c>
      <c r="C46" s="134" t="s">
        <v>42</v>
      </c>
      <c r="D46" s="140">
        <v>8</v>
      </c>
    </row>
    <row r="47" spans="1:4" x14ac:dyDescent="0.25">
      <c r="A47" s="75" t="s">
        <v>103</v>
      </c>
      <c r="B47" s="74">
        <v>1</v>
      </c>
      <c r="C47" s="137" t="s">
        <v>143</v>
      </c>
      <c r="D47" s="140">
        <v>4</v>
      </c>
    </row>
    <row r="48" spans="1:4" x14ac:dyDescent="0.25">
      <c r="A48" s="75" t="s">
        <v>106</v>
      </c>
      <c r="B48" s="74">
        <v>2</v>
      </c>
      <c r="C48" s="116" t="s">
        <v>43</v>
      </c>
      <c r="D48" s="115">
        <v>4</v>
      </c>
    </row>
    <row r="49" spans="1:4" x14ac:dyDescent="0.25">
      <c r="A49" s="73" t="s">
        <v>59</v>
      </c>
      <c r="B49" s="74">
        <v>21</v>
      </c>
      <c r="C49" s="3" t="s">
        <v>1940</v>
      </c>
      <c r="D49" s="1">
        <v>360</v>
      </c>
    </row>
    <row r="50" spans="1:4" x14ac:dyDescent="0.25">
      <c r="A50" s="75" t="s">
        <v>293</v>
      </c>
      <c r="B50" s="74">
        <v>21</v>
      </c>
      <c r="C50"/>
      <c r="D50"/>
    </row>
    <row r="51" spans="1:4" x14ac:dyDescent="0.25">
      <c r="A51" s="73" t="s">
        <v>42</v>
      </c>
      <c r="B51" s="74">
        <v>12</v>
      </c>
      <c r="C51"/>
      <c r="D51"/>
    </row>
    <row r="52" spans="1:4" x14ac:dyDescent="0.25">
      <c r="A52" s="75" t="s">
        <v>43</v>
      </c>
      <c r="B52" s="74">
        <v>6</v>
      </c>
      <c r="C52"/>
      <c r="D52"/>
    </row>
    <row r="53" spans="1:4" x14ac:dyDescent="0.25">
      <c r="A53" s="75" t="s">
        <v>143</v>
      </c>
      <c r="B53" s="74">
        <v>6</v>
      </c>
      <c r="C53"/>
      <c r="D53"/>
    </row>
    <row r="54" spans="1:4" x14ac:dyDescent="0.25">
      <c r="A54" s="3" t="s">
        <v>1940</v>
      </c>
      <c r="B54" s="1">
        <v>427</v>
      </c>
      <c r="C54"/>
      <c r="D54"/>
    </row>
    <row r="55" spans="1:4" x14ac:dyDescent="0.25">
      <c r="A55"/>
      <c r="B55"/>
      <c r="C55"/>
      <c r="D55"/>
    </row>
    <row r="56" spans="1:4" x14ac:dyDescent="0.25">
      <c r="A56"/>
      <c r="B56"/>
      <c r="C56"/>
      <c r="D56"/>
    </row>
    <row r="57" spans="1:4" x14ac:dyDescent="0.25">
      <c r="A57"/>
      <c r="B57"/>
      <c r="C57"/>
      <c r="D57"/>
    </row>
    <row r="58" spans="1:4" x14ac:dyDescent="0.25">
      <c r="A58"/>
      <c r="B58"/>
      <c r="C58"/>
      <c r="D58"/>
    </row>
    <row r="59" spans="1:4" x14ac:dyDescent="0.25">
      <c r="A59"/>
      <c r="B59"/>
      <c r="C59"/>
      <c r="D59"/>
    </row>
    <row r="60" spans="1:4" x14ac:dyDescent="0.25">
      <c r="A60"/>
      <c r="B60"/>
      <c r="C60"/>
      <c r="D60"/>
    </row>
    <row r="61" spans="1:4" x14ac:dyDescent="0.25">
      <c r="A61"/>
      <c r="B61"/>
      <c r="C61"/>
      <c r="D61"/>
    </row>
    <row r="62" spans="1:4" x14ac:dyDescent="0.25">
      <c r="A62"/>
      <c r="B62"/>
      <c r="C62"/>
      <c r="D62"/>
    </row>
    <row r="63" spans="1:4" x14ac:dyDescent="0.25">
      <c r="A63"/>
      <c r="B63"/>
      <c r="C63"/>
      <c r="D63"/>
    </row>
    <row r="64" spans="1:4" x14ac:dyDescent="0.25">
      <c r="A64"/>
      <c r="B64"/>
      <c r="C64"/>
      <c r="D64"/>
    </row>
    <row r="65" spans="1:4" x14ac:dyDescent="0.25">
      <c r="A65"/>
      <c r="B65"/>
      <c r="C65"/>
      <c r="D65"/>
    </row>
    <row r="66" spans="1:4" x14ac:dyDescent="0.25">
      <c r="A66"/>
      <c r="B66"/>
      <c r="C66"/>
      <c r="D66"/>
    </row>
    <row r="67" spans="1:4" x14ac:dyDescent="0.25">
      <c r="A67"/>
      <c r="B67"/>
      <c r="C67"/>
      <c r="D67"/>
    </row>
    <row r="68" spans="1:4" x14ac:dyDescent="0.25">
      <c r="A68"/>
      <c r="B68"/>
      <c r="C68"/>
      <c r="D68"/>
    </row>
    <row r="69" spans="1:4" x14ac:dyDescent="0.25">
      <c r="A69"/>
      <c r="B69"/>
      <c r="C69"/>
      <c r="D69"/>
    </row>
    <row r="70" spans="1:4" x14ac:dyDescent="0.25">
      <c r="A70"/>
      <c r="B70"/>
      <c r="C70"/>
      <c r="D70"/>
    </row>
    <row r="71" spans="1:4" x14ac:dyDescent="0.25">
      <c r="A71"/>
      <c r="B71"/>
      <c r="C71"/>
      <c r="D71"/>
    </row>
    <row r="72" spans="1:4" x14ac:dyDescent="0.25">
      <c r="A72"/>
      <c r="B72"/>
      <c r="C72"/>
      <c r="D72"/>
    </row>
    <row r="73" spans="1:4" x14ac:dyDescent="0.25">
      <c r="A73"/>
      <c r="B73"/>
      <c r="C73"/>
      <c r="D73"/>
    </row>
    <row r="74" spans="1:4" x14ac:dyDescent="0.25">
      <c r="A74"/>
      <c r="B74"/>
      <c r="C74"/>
      <c r="D74"/>
    </row>
    <row r="75" spans="1:4" x14ac:dyDescent="0.25">
      <c r="A75"/>
      <c r="B75"/>
      <c r="C75"/>
      <c r="D75"/>
    </row>
    <row r="76" spans="1:4" x14ac:dyDescent="0.25">
      <c r="A76"/>
      <c r="B76"/>
      <c r="C76"/>
      <c r="D76"/>
    </row>
    <row r="77" spans="1:4" x14ac:dyDescent="0.25">
      <c r="A77"/>
      <c r="B77"/>
      <c r="C77"/>
      <c r="D77"/>
    </row>
    <row r="78" spans="1:4" x14ac:dyDescent="0.25">
      <c r="A78"/>
      <c r="B78"/>
      <c r="C78"/>
      <c r="D78"/>
    </row>
    <row r="79" spans="1:4" x14ac:dyDescent="0.25">
      <c r="A79"/>
      <c r="B79"/>
      <c r="C79"/>
      <c r="D79"/>
    </row>
    <row r="80" spans="1:4" x14ac:dyDescent="0.25">
      <c r="A80"/>
      <c r="B80"/>
      <c r="C80"/>
      <c r="D80"/>
    </row>
    <row r="81" spans="1:4" x14ac:dyDescent="0.25">
      <c r="A81"/>
      <c r="B81"/>
      <c r="C81"/>
      <c r="D81"/>
    </row>
    <row r="82" spans="1:4" x14ac:dyDescent="0.25">
      <c r="A82"/>
      <c r="B82"/>
      <c r="C82"/>
      <c r="D82"/>
    </row>
    <row r="83" spans="1:4" x14ac:dyDescent="0.25">
      <c r="A83"/>
      <c r="B83"/>
      <c r="C83"/>
      <c r="D83"/>
    </row>
    <row r="84" spans="1:4" x14ac:dyDescent="0.25">
      <c r="A84"/>
      <c r="B84"/>
      <c r="C84"/>
      <c r="D84"/>
    </row>
    <row r="85" spans="1:4" x14ac:dyDescent="0.25">
      <c r="A85"/>
      <c r="B85"/>
      <c r="C85"/>
      <c r="D85"/>
    </row>
    <row r="86" spans="1:4" x14ac:dyDescent="0.25">
      <c r="A86"/>
      <c r="B86"/>
      <c r="C86"/>
      <c r="D86"/>
    </row>
    <row r="87" spans="1:4" x14ac:dyDescent="0.25">
      <c r="A87"/>
      <c r="B87"/>
      <c r="C87"/>
      <c r="D87"/>
    </row>
    <row r="88" spans="1:4" x14ac:dyDescent="0.25">
      <c r="A88"/>
      <c r="B88"/>
      <c r="C88"/>
      <c r="D88"/>
    </row>
    <row r="89" spans="1:4" x14ac:dyDescent="0.25">
      <c r="A89"/>
      <c r="B89"/>
      <c r="C89"/>
      <c r="D89"/>
    </row>
    <row r="90" spans="1:4" x14ac:dyDescent="0.25">
      <c r="A90"/>
      <c r="B90"/>
      <c r="C90"/>
      <c r="D90"/>
    </row>
    <row r="91" spans="1:4" x14ac:dyDescent="0.25">
      <c r="A91"/>
      <c r="B91"/>
      <c r="C91"/>
      <c r="D91"/>
    </row>
    <row r="92" spans="1:4" x14ac:dyDescent="0.25">
      <c r="A92"/>
      <c r="B92"/>
      <c r="C92"/>
      <c r="D92"/>
    </row>
    <row r="93" spans="1:4" x14ac:dyDescent="0.25">
      <c r="A93"/>
      <c r="B93"/>
      <c r="C93"/>
      <c r="D93"/>
    </row>
    <row r="94" spans="1:4" x14ac:dyDescent="0.25">
      <c r="A94"/>
      <c r="B94"/>
      <c r="C94"/>
      <c r="D94"/>
    </row>
    <row r="95" spans="1:4" x14ac:dyDescent="0.25">
      <c r="A95"/>
      <c r="B95"/>
      <c r="C95"/>
      <c r="D95"/>
    </row>
    <row r="96" spans="1:4" x14ac:dyDescent="0.25">
      <c r="A96"/>
      <c r="B96"/>
      <c r="C96"/>
      <c r="D96"/>
    </row>
    <row r="97" spans="1:4" x14ac:dyDescent="0.25">
      <c r="A97"/>
      <c r="B97"/>
      <c r="C97"/>
      <c r="D97"/>
    </row>
    <row r="98" spans="1:4" x14ac:dyDescent="0.25">
      <c r="A98"/>
      <c r="B98"/>
      <c r="C98"/>
      <c r="D98"/>
    </row>
    <row r="99" spans="1:4" x14ac:dyDescent="0.25">
      <c r="A99"/>
      <c r="B99"/>
      <c r="C99"/>
      <c r="D99"/>
    </row>
    <row r="100" spans="1:4" x14ac:dyDescent="0.25">
      <c r="A100"/>
      <c r="B100"/>
      <c r="C100"/>
      <c r="D100"/>
    </row>
    <row r="101" spans="1:4" x14ac:dyDescent="0.25">
      <c r="A101"/>
      <c r="B101"/>
      <c r="C101"/>
      <c r="D101"/>
    </row>
    <row r="102" spans="1:4" x14ac:dyDescent="0.25">
      <c r="A102"/>
      <c r="B102"/>
      <c r="C102"/>
      <c r="D102"/>
    </row>
    <row r="103" spans="1:4" x14ac:dyDescent="0.25">
      <c r="A103"/>
      <c r="B103"/>
      <c r="C103"/>
      <c r="D103"/>
    </row>
    <row r="104" spans="1:4" x14ac:dyDescent="0.25">
      <c r="A104"/>
      <c r="B104"/>
      <c r="C104"/>
      <c r="D104"/>
    </row>
    <row r="105" spans="1:4" x14ac:dyDescent="0.25">
      <c r="A105"/>
      <c r="B105"/>
      <c r="C105"/>
      <c r="D105"/>
    </row>
    <row r="106" spans="1:4" x14ac:dyDescent="0.25">
      <c r="A106"/>
      <c r="B106"/>
      <c r="C106"/>
      <c r="D106"/>
    </row>
    <row r="107" spans="1:4" x14ac:dyDescent="0.25">
      <c r="A107"/>
      <c r="B107"/>
      <c r="C107"/>
      <c r="D107"/>
    </row>
    <row r="108" spans="1:4" x14ac:dyDescent="0.25">
      <c r="A108"/>
      <c r="B108"/>
      <c r="C108"/>
      <c r="D108"/>
    </row>
    <row r="109" spans="1:4" x14ac:dyDescent="0.25">
      <c r="A109"/>
      <c r="B109"/>
      <c r="C109"/>
      <c r="D109"/>
    </row>
    <row r="110" spans="1:4" x14ac:dyDescent="0.25">
      <c r="A110"/>
      <c r="B110"/>
      <c r="C110"/>
      <c r="D110"/>
    </row>
    <row r="111" spans="1:4" x14ac:dyDescent="0.25">
      <c r="A111"/>
      <c r="B111"/>
      <c r="C111"/>
      <c r="D111"/>
    </row>
    <row r="112" spans="1:4" x14ac:dyDescent="0.25">
      <c r="A112"/>
      <c r="B112"/>
      <c r="C112"/>
      <c r="D112"/>
    </row>
    <row r="113" spans="1:4" x14ac:dyDescent="0.25">
      <c r="A113"/>
      <c r="B113"/>
      <c r="C113"/>
      <c r="D113"/>
    </row>
    <row r="114" spans="1:4" x14ac:dyDescent="0.25">
      <c r="A114"/>
      <c r="B114"/>
      <c r="C114"/>
      <c r="D114"/>
    </row>
    <row r="115" spans="1:4" x14ac:dyDescent="0.25">
      <c r="A115"/>
      <c r="B115"/>
      <c r="C115"/>
      <c r="D115"/>
    </row>
    <row r="116" spans="1:4" x14ac:dyDescent="0.25">
      <c r="A116"/>
      <c r="B116"/>
      <c r="C116"/>
      <c r="D116"/>
    </row>
    <row r="117" spans="1:4" x14ac:dyDescent="0.25">
      <c r="A117"/>
      <c r="B117"/>
      <c r="C117"/>
      <c r="D117"/>
    </row>
    <row r="118" spans="1:4" x14ac:dyDescent="0.25">
      <c r="A118"/>
      <c r="B118"/>
      <c r="C118"/>
      <c r="D118"/>
    </row>
    <row r="119" spans="1:4" x14ac:dyDescent="0.25">
      <c r="A119"/>
      <c r="B119"/>
      <c r="C119"/>
      <c r="D119"/>
    </row>
    <row r="120" spans="1:4" x14ac:dyDescent="0.25">
      <c r="A120"/>
      <c r="B120"/>
      <c r="C120"/>
      <c r="D120"/>
    </row>
    <row r="121" spans="1:4" x14ac:dyDescent="0.25">
      <c r="A121"/>
      <c r="B121"/>
      <c r="C121"/>
      <c r="D121"/>
    </row>
    <row r="122" spans="1:4" x14ac:dyDescent="0.25">
      <c r="A122"/>
      <c r="B122"/>
      <c r="C122"/>
      <c r="D122"/>
    </row>
    <row r="123" spans="1:4" x14ac:dyDescent="0.25">
      <c r="A123"/>
      <c r="B123"/>
      <c r="C123"/>
      <c r="D123"/>
    </row>
    <row r="124" spans="1:4" x14ac:dyDescent="0.25">
      <c r="A124"/>
      <c r="B124"/>
      <c r="C124"/>
      <c r="D124"/>
    </row>
    <row r="125" spans="1:4" x14ac:dyDescent="0.25">
      <c r="A125"/>
      <c r="B125"/>
      <c r="C125"/>
      <c r="D125"/>
    </row>
    <row r="126" spans="1:4" x14ac:dyDescent="0.25">
      <c r="A126"/>
      <c r="B126"/>
      <c r="C126"/>
      <c r="D126"/>
    </row>
    <row r="127" spans="1:4" x14ac:dyDescent="0.25">
      <c r="A127"/>
      <c r="B127"/>
      <c r="C127"/>
      <c r="D127"/>
    </row>
    <row r="128" spans="1:4" x14ac:dyDescent="0.25">
      <c r="A128"/>
      <c r="B128"/>
      <c r="C128"/>
      <c r="D128"/>
    </row>
    <row r="129" spans="1:4" x14ac:dyDescent="0.25">
      <c r="A129"/>
      <c r="B129"/>
      <c r="C129"/>
      <c r="D129"/>
    </row>
    <row r="130" spans="1:4" x14ac:dyDescent="0.25">
      <c r="A130"/>
      <c r="B130"/>
      <c r="C130"/>
      <c r="D130"/>
    </row>
    <row r="131" spans="1:4" x14ac:dyDescent="0.25">
      <c r="A131"/>
      <c r="B131"/>
      <c r="C131"/>
      <c r="D131"/>
    </row>
    <row r="132" spans="1:4" x14ac:dyDescent="0.25">
      <c r="A132"/>
      <c r="B132"/>
      <c r="C132"/>
      <c r="D132"/>
    </row>
    <row r="133" spans="1:4" x14ac:dyDescent="0.25">
      <c r="A133"/>
      <c r="B133"/>
      <c r="C133"/>
      <c r="D133"/>
    </row>
    <row r="134" spans="1:4" x14ac:dyDescent="0.25">
      <c r="A134"/>
      <c r="B134"/>
      <c r="C134"/>
      <c r="D134"/>
    </row>
    <row r="135" spans="1:4" x14ac:dyDescent="0.25">
      <c r="A135"/>
      <c r="B135"/>
      <c r="C135"/>
      <c r="D135"/>
    </row>
    <row r="136" spans="1:4" x14ac:dyDescent="0.25">
      <c r="A136"/>
      <c r="B136"/>
      <c r="C136"/>
      <c r="D136"/>
    </row>
    <row r="137" spans="1:4" x14ac:dyDescent="0.25">
      <c r="A137"/>
      <c r="B137"/>
      <c r="C137"/>
      <c r="D137"/>
    </row>
    <row r="138" spans="1:4" x14ac:dyDescent="0.25">
      <c r="A138"/>
      <c r="B138"/>
      <c r="C138"/>
      <c r="D138"/>
    </row>
    <row r="139" spans="1:4" x14ac:dyDescent="0.25">
      <c r="A139"/>
      <c r="B139"/>
      <c r="C139"/>
      <c r="D139"/>
    </row>
    <row r="140" spans="1:4" x14ac:dyDescent="0.25">
      <c r="A140"/>
      <c r="B140"/>
      <c r="C140"/>
      <c r="D140"/>
    </row>
    <row r="141" spans="1:4" x14ac:dyDescent="0.25">
      <c r="A141"/>
      <c r="B141"/>
      <c r="C141"/>
      <c r="D141"/>
    </row>
    <row r="142" spans="1:4" x14ac:dyDescent="0.25">
      <c r="A142"/>
      <c r="B142"/>
      <c r="C142"/>
      <c r="D142"/>
    </row>
    <row r="143" spans="1:4" x14ac:dyDescent="0.25">
      <c r="A143"/>
      <c r="B143"/>
      <c r="C143"/>
      <c r="D143"/>
    </row>
    <row r="144" spans="1:4" x14ac:dyDescent="0.25">
      <c r="A144"/>
      <c r="B144"/>
      <c r="C144"/>
      <c r="D144"/>
    </row>
    <row r="145" spans="1:4" x14ac:dyDescent="0.25">
      <c r="A145"/>
      <c r="B145"/>
      <c r="C145"/>
      <c r="D145"/>
    </row>
    <row r="146" spans="1:4" x14ac:dyDescent="0.25">
      <c r="A146"/>
      <c r="B146"/>
      <c r="C146"/>
      <c r="D146"/>
    </row>
    <row r="147" spans="1:4" x14ac:dyDescent="0.25">
      <c r="A147"/>
      <c r="B147"/>
      <c r="C147"/>
      <c r="D147"/>
    </row>
    <row r="148" spans="1:4" x14ac:dyDescent="0.25">
      <c r="A148"/>
      <c r="B148"/>
      <c r="C148"/>
      <c r="D148"/>
    </row>
    <row r="149" spans="1:4" x14ac:dyDescent="0.25">
      <c r="A149"/>
      <c r="B149"/>
      <c r="C149"/>
      <c r="D149"/>
    </row>
    <row r="150" spans="1:4" x14ac:dyDescent="0.25">
      <c r="A150"/>
      <c r="B150"/>
      <c r="C150"/>
      <c r="D150"/>
    </row>
    <row r="151" spans="1:4" x14ac:dyDescent="0.25">
      <c r="A151"/>
      <c r="B151"/>
      <c r="C151"/>
      <c r="D151"/>
    </row>
    <row r="152" spans="1:4" x14ac:dyDescent="0.25">
      <c r="A152"/>
      <c r="B152"/>
      <c r="C152"/>
      <c r="D152"/>
    </row>
    <row r="153" spans="1:4" x14ac:dyDescent="0.25">
      <c r="A153"/>
      <c r="B153"/>
      <c r="C153"/>
      <c r="D153"/>
    </row>
    <row r="154" spans="1:4" x14ac:dyDescent="0.25">
      <c r="A154"/>
      <c r="B154"/>
      <c r="C154"/>
      <c r="D154"/>
    </row>
    <row r="155" spans="1:4" x14ac:dyDescent="0.25">
      <c r="A155"/>
      <c r="B155"/>
      <c r="C155"/>
      <c r="D155"/>
    </row>
    <row r="156" spans="1:4" x14ac:dyDescent="0.25">
      <c r="A156"/>
      <c r="B156"/>
      <c r="C156"/>
      <c r="D156"/>
    </row>
    <row r="157" spans="1:4" x14ac:dyDescent="0.25">
      <c r="A157"/>
      <c r="B157"/>
      <c r="C157"/>
      <c r="D157"/>
    </row>
    <row r="158" spans="1:4" x14ac:dyDescent="0.25">
      <c r="A158"/>
      <c r="B158"/>
      <c r="C158"/>
      <c r="D158"/>
    </row>
    <row r="159" spans="1:4" x14ac:dyDescent="0.25">
      <c r="A159"/>
      <c r="B159"/>
      <c r="C159"/>
      <c r="D159"/>
    </row>
    <row r="160" spans="1:4" x14ac:dyDescent="0.25">
      <c r="A160"/>
      <c r="B160"/>
      <c r="C160"/>
      <c r="D160"/>
    </row>
    <row r="161" spans="1:4" x14ac:dyDescent="0.25">
      <c r="A161"/>
      <c r="B161"/>
      <c r="C161"/>
      <c r="D161"/>
    </row>
    <row r="162" spans="1:4" x14ac:dyDescent="0.25">
      <c r="A162"/>
      <c r="B162"/>
      <c r="C162"/>
      <c r="D162"/>
    </row>
    <row r="163" spans="1:4" x14ac:dyDescent="0.25">
      <c r="A163"/>
      <c r="B163"/>
      <c r="C163"/>
      <c r="D163"/>
    </row>
    <row r="164" spans="1:4" x14ac:dyDescent="0.25">
      <c r="A164"/>
      <c r="B164"/>
      <c r="C164"/>
      <c r="D164"/>
    </row>
    <row r="165" spans="1:4" x14ac:dyDescent="0.25">
      <c r="A165"/>
      <c r="B165"/>
      <c r="C165"/>
      <c r="D165"/>
    </row>
    <row r="166" spans="1:4" x14ac:dyDescent="0.25">
      <c r="A166"/>
      <c r="B166"/>
      <c r="C166"/>
      <c r="D166"/>
    </row>
    <row r="167" spans="1:4" x14ac:dyDescent="0.25">
      <c r="A167"/>
      <c r="B167"/>
      <c r="C167"/>
      <c r="D167"/>
    </row>
    <row r="168" spans="1:4" x14ac:dyDescent="0.25">
      <c r="A168"/>
      <c r="B168"/>
      <c r="C168"/>
      <c r="D168"/>
    </row>
    <row r="169" spans="1:4" x14ac:dyDescent="0.25">
      <c r="A169"/>
      <c r="B169"/>
      <c r="C169"/>
      <c r="D169"/>
    </row>
    <row r="170" spans="1:4" x14ac:dyDescent="0.25">
      <c r="A170"/>
      <c r="B170"/>
      <c r="C170"/>
      <c r="D170"/>
    </row>
    <row r="171" spans="1:4" x14ac:dyDescent="0.25">
      <c r="A171"/>
      <c r="B171"/>
      <c r="C171"/>
      <c r="D171"/>
    </row>
    <row r="172" spans="1:4" x14ac:dyDescent="0.25">
      <c r="A172"/>
      <c r="B172"/>
      <c r="C172"/>
      <c r="D172"/>
    </row>
    <row r="173" spans="1:4" x14ac:dyDescent="0.25">
      <c r="A173"/>
      <c r="B173"/>
      <c r="C173"/>
      <c r="D173"/>
    </row>
    <row r="174" spans="1:4" x14ac:dyDescent="0.25">
      <c r="A174"/>
      <c r="B174"/>
      <c r="C174"/>
      <c r="D174"/>
    </row>
    <row r="175" spans="1:4" x14ac:dyDescent="0.25">
      <c r="A175"/>
      <c r="B175"/>
      <c r="C175"/>
      <c r="D175"/>
    </row>
    <row r="176" spans="1:4" x14ac:dyDescent="0.25">
      <c r="A176"/>
      <c r="B176"/>
      <c r="C176"/>
      <c r="D176"/>
    </row>
    <row r="177" spans="1:4" x14ac:dyDescent="0.25">
      <c r="A177"/>
      <c r="B177"/>
      <c r="C177"/>
      <c r="D177"/>
    </row>
    <row r="178" spans="1:4" x14ac:dyDescent="0.25">
      <c r="A178"/>
      <c r="B178"/>
      <c r="C178"/>
      <c r="D178"/>
    </row>
    <row r="179" spans="1:4" x14ac:dyDescent="0.25">
      <c r="A179"/>
      <c r="B179"/>
      <c r="C179"/>
      <c r="D179"/>
    </row>
    <row r="180" spans="1:4" x14ac:dyDescent="0.25">
      <c r="A180"/>
      <c r="B180"/>
      <c r="C180"/>
      <c r="D180"/>
    </row>
    <row r="181" spans="1:4" x14ac:dyDescent="0.25">
      <c r="A181"/>
      <c r="B181"/>
      <c r="C181"/>
      <c r="D181"/>
    </row>
    <row r="182" spans="1:4" x14ac:dyDescent="0.25">
      <c r="A182"/>
      <c r="B182"/>
      <c r="C182"/>
      <c r="D182"/>
    </row>
    <row r="183" spans="1:4" x14ac:dyDescent="0.25">
      <c r="A183"/>
      <c r="B183"/>
      <c r="C183"/>
      <c r="D183"/>
    </row>
    <row r="184" spans="1:4" x14ac:dyDescent="0.25">
      <c r="A184"/>
      <c r="B184"/>
      <c r="C184"/>
      <c r="D184"/>
    </row>
    <row r="185" spans="1:4" x14ac:dyDescent="0.25">
      <c r="A185"/>
      <c r="B185"/>
      <c r="C185"/>
      <c r="D185"/>
    </row>
    <row r="186" spans="1:4" x14ac:dyDescent="0.25">
      <c r="A186"/>
      <c r="B186"/>
      <c r="C186"/>
      <c r="D186"/>
    </row>
    <row r="187" spans="1:4" x14ac:dyDescent="0.25">
      <c r="A187"/>
      <c r="B187"/>
      <c r="C187"/>
      <c r="D187"/>
    </row>
    <row r="188" spans="1:4" x14ac:dyDescent="0.25">
      <c r="A188"/>
      <c r="B188"/>
      <c r="C188"/>
      <c r="D188"/>
    </row>
    <row r="189" spans="1:4" x14ac:dyDescent="0.25">
      <c r="A189"/>
      <c r="B189"/>
      <c r="C189"/>
      <c r="D189"/>
    </row>
    <row r="190" spans="1:4" x14ac:dyDescent="0.25">
      <c r="A190"/>
      <c r="B190"/>
      <c r="C190"/>
      <c r="D190"/>
    </row>
    <row r="191" spans="1:4" x14ac:dyDescent="0.25">
      <c r="A191"/>
      <c r="B191"/>
      <c r="C191"/>
      <c r="D191"/>
    </row>
    <row r="192" spans="1:4" x14ac:dyDescent="0.25">
      <c r="A192"/>
      <c r="B192"/>
      <c r="C192"/>
      <c r="D192"/>
    </row>
    <row r="193" spans="1:4" x14ac:dyDescent="0.25">
      <c r="A193"/>
      <c r="B193"/>
      <c r="C193"/>
      <c r="D193"/>
    </row>
    <row r="194" spans="1:4" x14ac:dyDescent="0.25">
      <c r="A194"/>
      <c r="B194"/>
      <c r="C194"/>
      <c r="D194"/>
    </row>
    <row r="195" spans="1:4" x14ac:dyDescent="0.25">
      <c r="A195"/>
      <c r="B195"/>
      <c r="C195"/>
      <c r="D195"/>
    </row>
    <row r="196" spans="1:4" x14ac:dyDescent="0.25">
      <c r="A196"/>
      <c r="B196"/>
      <c r="C196"/>
      <c r="D196"/>
    </row>
    <row r="197" spans="1:4" x14ac:dyDescent="0.25">
      <c r="A197"/>
      <c r="B197"/>
      <c r="C197"/>
      <c r="D197"/>
    </row>
    <row r="198" spans="1:4" x14ac:dyDescent="0.25">
      <c r="A198"/>
      <c r="B198"/>
      <c r="C198"/>
      <c r="D198"/>
    </row>
    <row r="199" spans="1:4" x14ac:dyDescent="0.25">
      <c r="A199"/>
      <c r="B199"/>
      <c r="C199"/>
      <c r="D199"/>
    </row>
    <row r="200" spans="1:4" x14ac:dyDescent="0.25">
      <c r="A200"/>
      <c r="B200"/>
      <c r="C200"/>
      <c r="D200"/>
    </row>
    <row r="201" spans="1:4" x14ac:dyDescent="0.25">
      <c r="C201"/>
      <c r="D201"/>
    </row>
    <row r="202" spans="1:4" x14ac:dyDescent="0.25">
      <c r="C202"/>
      <c r="D202"/>
    </row>
    <row r="203" spans="1:4" x14ac:dyDescent="0.25">
      <c r="C203"/>
      <c r="D203"/>
    </row>
    <row r="204" spans="1:4" x14ac:dyDescent="0.25">
      <c r="C204"/>
      <c r="D204"/>
    </row>
    <row r="205" spans="1:4" x14ac:dyDescent="0.25">
      <c r="C205"/>
      <c r="D205"/>
    </row>
    <row r="206" spans="1:4" x14ac:dyDescent="0.25">
      <c r="C206"/>
      <c r="D206"/>
    </row>
    <row r="207" spans="1:4" x14ac:dyDescent="0.25">
      <c r="C207"/>
      <c r="D207"/>
    </row>
    <row r="208" spans="1:4" x14ac:dyDescent="0.25">
      <c r="C208"/>
      <c r="D208"/>
    </row>
    <row r="209" spans="3:4" x14ac:dyDescent="0.25">
      <c r="C209"/>
      <c r="D209"/>
    </row>
    <row r="210" spans="3:4" x14ac:dyDescent="0.25">
      <c r="C210"/>
      <c r="D210"/>
    </row>
    <row r="211" spans="3:4" x14ac:dyDescent="0.25">
      <c r="C211"/>
      <c r="D211"/>
    </row>
    <row r="212" spans="3:4" x14ac:dyDescent="0.25">
      <c r="C212"/>
      <c r="D212"/>
    </row>
    <row r="213" spans="3:4" x14ac:dyDescent="0.25">
      <c r="C213"/>
      <c r="D213"/>
    </row>
    <row r="214" spans="3:4" x14ac:dyDescent="0.25">
      <c r="C214"/>
      <c r="D214"/>
    </row>
    <row r="215" spans="3:4" x14ac:dyDescent="0.25">
      <c r="C215"/>
      <c r="D215"/>
    </row>
    <row r="216" spans="3:4" x14ac:dyDescent="0.25">
      <c r="C216"/>
      <c r="D216"/>
    </row>
    <row r="217" spans="3:4" x14ac:dyDescent="0.25">
      <c r="C217"/>
      <c r="D217"/>
    </row>
    <row r="218" spans="3:4" x14ac:dyDescent="0.25">
      <c r="C218"/>
      <c r="D218"/>
    </row>
    <row r="219" spans="3:4" x14ac:dyDescent="0.25">
      <c r="C219"/>
      <c r="D219"/>
    </row>
    <row r="220" spans="3:4" x14ac:dyDescent="0.25">
      <c r="C220"/>
      <c r="D220"/>
    </row>
    <row r="221" spans="3:4" x14ac:dyDescent="0.25">
      <c r="C221"/>
      <c r="D221"/>
    </row>
    <row r="222" spans="3:4" x14ac:dyDescent="0.25">
      <c r="C222"/>
      <c r="D222"/>
    </row>
    <row r="223" spans="3:4" x14ac:dyDescent="0.25">
      <c r="C223"/>
      <c r="D223"/>
    </row>
    <row r="224" spans="3:4" x14ac:dyDescent="0.25">
      <c r="C224"/>
      <c r="D224"/>
    </row>
    <row r="225" spans="3:4" x14ac:dyDescent="0.25">
      <c r="C225"/>
      <c r="D225"/>
    </row>
    <row r="226" spans="3:4" x14ac:dyDescent="0.25">
      <c r="C226"/>
      <c r="D226"/>
    </row>
    <row r="227" spans="3:4" x14ac:dyDescent="0.25">
      <c r="C227"/>
      <c r="D227"/>
    </row>
    <row r="228" spans="3:4" x14ac:dyDescent="0.25">
      <c r="C228"/>
      <c r="D228"/>
    </row>
    <row r="229" spans="3:4" x14ac:dyDescent="0.25">
      <c r="C229"/>
      <c r="D229"/>
    </row>
    <row r="230" spans="3:4" x14ac:dyDescent="0.25">
      <c r="C230"/>
      <c r="D230"/>
    </row>
    <row r="231" spans="3:4" x14ac:dyDescent="0.25">
      <c r="C231"/>
      <c r="D231"/>
    </row>
    <row r="232" spans="3:4" x14ac:dyDescent="0.25">
      <c r="C232"/>
      <c r="D232"/>
    </row>
    <row r="233" spans="3:4" x14ac:dyDescent="0.25">
      <c r="C233"/>
      <c r="D233"/>
    </row>
    <row r="234" spans="3:4" x14ac:dyDescent="0.25">
      <c r="C234"/>
      <c r="D234"/>
    </row>
    <row r="235" spans="3:4" x14ac:dyDescent="0.25">
      <c r="C235"/>
      <c r="D235"/>
    </row>
    <row r="236" spans="3:4" x14ac:dyDescent="0.25">
      <c r="C236"/>
      <c r="D236"/>
    </row>
    <row r="237" spans="3:4" x14ac:dyDescent="0.25">
      <c r="C237"/>
      <c r="D237"/>
    </row>
    <row r="238" spans="3:4" x14ac:dyDescent="0.25">
      <c r="C238"/>
      <c r="D238"/>
    </row>
    <row r="239" spans="3:4" x14ac:dyDescent="0.25">
      <c r="C239"/>
      <c r="D239"/>
    </row>
    <row r="240" spans="3:4" x14ac:dyDescent="0.25">
      <c r="C240"/>
      <c r="D240"/>
    </row>
    <row r="241" spans="3:4" x14ac:dyDescent="0.25">
      <c r="C241"/>
      <c r="D241"/>
    </row>
    <row r="242" spans="3:4" x14ac:dyDescent="0.25">
      <c r="C242"/>
      <c r="D242"/>
    </row>
    <row r="243" spans="3:4" x14ac:dyDescent="0.25">
      <c r="C243"/>
      <c r="D243"/>
    </row>
    <row r="244" spans="3:4" x14ac:dyDescent="0.25">
      <c r="C244"/>
      <c r="D244"/>
    </row>
    <row r="245" spans="3:4" x14ac:dyDescent="0.25">
      <c r="C245"/>
      <c r="D245"/>
    </row>
    <row r="246" spans="3:4" x14ac:dyDescent="0.25">
      <c r="C246"/>
      <c r="D246"/>
    </row>
    <row r="247" spans="3:4" x14ac:dyDescent="0.25">
      <c r="C247"/>
      <c r="D247"/>
    </row>
    <row r="248" spans="3:4" x14ac:dyDescent="0.25">
      <c r="C248"/>
      <c r="D248"/>
    </row>
    <row r="249" spans="3:4" x14ac:dyDescent="0.25">
      <c r="C249"/>
      <c r="D249"/>
    </row>
    <row r="250" spans="3:4" x14ac:dyDescent="0.25">
      <c r="C250"/>
      <c r="D250"/>
    </row>
    <row r="251" spans="3:4" x14ac:dyDescent="0.25">
      <c r="C251"/>
      <c r="D251"/>
    </row>
    <row r="252" spans="3:4" x14ac:dyDescent="0.25">
      <c r="C252"/>
      <c r="D252"/>
    </row>
    <row r="253" spans="3:4" x14ac:dyDescent="0.25">
      <c r="C253"/>
      <c r="D253"/>
    </row>
    <row r="254" spans="3:4" x14ac:dyDescent="0.25">
      <c r="C254"/>
      <c r="D254"/>
    </row>
    <row r="255" spans="3:4" x14ac:dyDescent="0.25">
      <c r="C255"/>
      <c r="D255"/>
    </row>
    <row r="256" spans="3:4" x14ac:dyDescent="0.25">
      <c r="C256"/>
      <c r="D256"/>
    </row>
    <row r="257" spans="3:4" x14ac:dyDescent="0.25">
      <c r="C257"/>
      <c r="D257"/>
    </row>
    <row r="258" spans="3:4" x14ac:dyDescent="0.25">
      <c r="C258"/>
      <c r="D258"/>
    </row>
    <row r="259" spans="3:4" x14ac:dyDescent="0.25">
      <c r="C259"/>
      <c r="D259"/>
    </row>
    <row r="260" spans="3:4" x14ac:dyDescent="0.25">
      <c r="C260"/>
      <c r="D260"/>
    </row>
    <row r="261" spans="3:4" x14ac:dyDescent="0.25">
      <c r="C261"/>
      <c r="D261"/>
    </row>
    <row r="262" spans="3:4" x14ac:dyDescent="0.25">
      <c r="C262"/>
      <c r="D262"/>
    </row>
    <row r="263" spans="3:4" x14ac:dyDescent="0.25">
      <c r="C263"/>
      <c r="D263"/>
    </row>
    <row r="264" spans="3:4" x14ac:dyDescent="0.25">
      <c r="C264"/>
      <c r="D264"/>
    </row>
    <row r="265" spans="3:4" x14ac:dyDescent="0.25">
      <c r="C265"/>
      <c r="D265"/>
    </row>
    <row r="266" spans="3:4" x14ac:dyDescent="0.25">
      <c r="C266"/>
      <c r="D266"/>
    </row>
    <row r="267" spans="3:4" x14ac:dyDescent="0.25">
      <c r="C267"/>
      <c r="D267"/>
    </row>
    <row r="268" spans="3:4" x14ac:dyDescent="0.25">
      <c r="C268"/>
      <c r="D268"/>
    </row>
    <row r="269" spans="3:4" x14ac:dyDescent="0.25">
      <c r="C269"/>
      <c r="D269"/>
    </row>
    <row r="270" spans="3:4" x14ac:dyDescent="0.25">
      <c r="C270"/>
      <c r="D270"/>
    </row>
    <row r="271" spans="3:4" x14ac:dyDescent="0.25">
      <c r="C271"/>
      <c r="D271"/>
    </row>
    <row r="272" spans="3:4" x14ac:dyDescent="0.25">
      <c r="C272"/>
      <c r="D272"/>
    </row>
    <row r="273" spans="3:4" x14ac:dyDescent="0.25">
      <c r="C273"/>
      <c r="D273"/>
    </row>
    <row r="274" spans="3:4" x14ac:dyDescent="0.25">
      <c r="C274"/>
      <c r="D274"/>
    </row>
    <row r="275" spans="3:4" x14ac:dyDescent="0.25">
      <c r="C275"/>
      <c r="D275"/>
    </row>
    <row r="276" spans="3:4" x14ac:dyDescent="0.25">
      <c r="C276"/>
      <c r="D276"/>
    </row>
    <row r="277" spans="3:4" x14ac:dyDescent="0.25">
      <c r="C277"/>
      <c r="D277"/>
    </row>
    <row r="278" spans="3:4" x14ac:dyDescent="0.25">
      <c r="C278"/>
      <c r="D278"/>
    </row>
    <row r="279" spans="3:4" x14ac:dyDescent="0.25">
      <c r="C279"/>
      <c r="D279"/>
    </row>
    <row r="280" spans="3:4" x14ac:dyDescent="0.25">
      <c r="C280"/>
      <c r="D280"/>
    </row>
    <row r="281" spans="3:4" x14ac:dyDescent="0.25">
      <c r="C281"/>
      <c r="D281"/>
    </row>
    <row r="282" spans="3:4" x14ac:dyDescent="0.25">
      <c r="C282"/>
      <c r="D282"/>
    </row>
    <row r="283" spans="3:4" x14ac:dyDescent="0.25">
      <c r="C283"/>
      <c r="D283"/>
    </row>
    <row r="284" spans="3:4" x14ac:dyDescent="0.25">
      <c r="C284"/>
      <c r="D284"/>
    </row>
    <row r="285" spans="3:4" x14ac:dyDescent="0.25">
      <c r="C285"/>
      <c r="D285"/>
    </row>
    <row r="286" spans="3:4" x14ac:dyDescent="0.25">
      <c r="C286"/>
      <c r="D286"/>
    </row>
    <row r="287" spans="3:4" x14ac:dyDescent="0.25">
      <c r="C287"/>
      <c r="D287"/>
    </row>
    <row r="288" spans="3:4" x14ac:dyDescent="0.25">
      <c r="C288"/>
      <c r="D288"/>
    </row>
    <row r="289" spans="3:4" x14ac:dyDescent="0.25">
      <c r="C289"/>
      <c r="D289"/>
    </row>
    <row r="290" spans="3:4" x14ac:dyDescent="0.25">
      <c r="C290"/>
      <c r="D290"/>
    </row>
    <row r="291" spans="3:4" x14ac:dyDescent="0.25">
      <c r="C291"/>
      <c r="D291"/>
    </row>
    <row r="292" spans="3:4" x14ac:dyDescent="0.25">
      <c r="C292"/>
      <c r="D292"/>
    </row>
    <row r="293" spans="3:4" x14ac:dyDescent="0.25">
      <c r="C293"/>
      <c r="D293"/>
    </row>
    <row r="294" spans="3:4" x14ac:dyDescent="0.25">
      <c r="C294"/>
      <c r="D294"/>
    </row>
    <row r="295" spans="3:4" x14ac:dyDescent="0.25">
      <c r="C295"/>
      <c r="D295"/>
    </row>
    <row r="296" spans="3:4" x14ac:dyDescent="0.25">
      <c r="C296"/>
      <c r="D296"/>
    </row>
    <row r="297" spans="3:4" x14ac:dyDescent="0.25">
      <c r="C297"/>
      <c r="D297"/>
    </row>
    <row r="298" spans="3:4" x14ac:dyDescent="0.25">
      <c r="C298"/>
      <c r="D298"/>
    </row>
    <row r="299" spans="3:4" x14ac:dyDescent="0.25">
      <c r="C299"/>
      <c r="D299"/>
    </row>
    <row r="300" spans="3:4" x14ac:dyDescent="0.25">
      <c r="C300"/>
      <c r="D300"/>
    </row>
    <row r="301" spans="3:4" x14ac:dyDescent="0.25">
      <c r="C301"/>
      <c r="D301"/>
    </row>
    <row r="302" spans="3:4" x14ac:dyDescent="0.25">
      <c r="C302"/>
      <c r="D302"/>
    </row>
    <row r="303" spans="3:4" x14ac:dyDescent="0.25">
      <c r="C303"/>
      <c r="D303"/>
    </row>
    <row r="304" spans="3:4" x14ac:dyDescent="0.25">
      <c r="C304"/>
      <c r="D304"/>
    </row>
    <row r="305" spans="3:4" x14ac:dyDescent="0.25">
      <c r="C305"/>
      <c r="D305"/>
    </row>
    <row r="306" spans="3:4" x14ac:dyDescent="0.25">
      <c r="C306"/>
      <c r="D306"/>
    </row>
    <row r="307" spans="3:4" x14ac:dyDescent="0.25">
      <c r="C307"/>
      <c r="D307"/>
    </row>
    <row r="308" spans="3:4" x14ac:dyDescent="0.25">
      <c r="C308"/>
      <c r="D308"/>
    </row>
    <row r="309" spans="3:4" x14ac:dyDescent="0.25">
      <c r="C309"/>
      <c r="D309"/>
    </row>
    <row r="310" spans="3:4" x14ac:dyDescent="0.25">
      <c r="C310"/>
      <c r="D310"/>
    </row>
    <row r="311" spans="3:4" x14ac:dyDescent="0.25">
      <c r="C311"/>
      <c r="D311"/>
    </row>
    <row r="312" spans="3:4" x14ac:dyDescent="0.25">
      <c r="C312"/>
      <c r="D312"/>
    </row>
    <row r="313" spans="3:4" x14ac:dyDescent="0.25">
      <c r="C313"/>
      <c r="D313"/>
    </row>
    <row r="314" spans="3:4" x14ac:dyDescent="0.25">
      <c r="C314"/>
      <c r="D314"/>
    </row>
    <row r="315" spans="3:4" x14ac:dyDescent="0.25">
      <c r="C315"/>
      <c r="D315"/>
    </row>
    <row r="316" spans="3:4" x14ac:dyDescent="0.25">
      <c r="C316"/>
      <c r="D316"/>
    </row>
    <row r="317" spans="3:4" x14ac:dyDescent="0.25">
      <c r="C317"/>
      <c r="D317"/>
    </row>
    <row r="318" spans="3:4" x14ac:dyDescent="0.25">
      <c r="C318"/>
      <c r="D318"/>
    </row>
    <row r="319" spans="3:4" x14ac:dyDescent="0.25">
      <c r="C319"/>
      <c r="D319"/>
    </row>
    <row r="320" spans="3:4" x14ac:dyDescent="0.25">
      <c r="C320"/>
      <c r="D320"/>
    </row>
    <row r="321" spans="3:4" x14ac:dyDescent="0.25">
      <c r="C321"/>
      <c r="D321"/>
    </row>
    <row r="322" spans="3:4" x14ac:dyDescent="0.25">
      <c r="C322"/>
      <c r="D322"/>
    </row>
    <row r="323" spans="3:4" x14ac:dyDescent="0.25">
      <c r="C323"/>
      <c r="D323"/>
    </row>
    <row r="324" spans="3:4" x14ac:dyDescent="0.25">
      <c r="C324"/>
      <c r="D324"/>
    </row>
    <row r="325" spans="3:4" x14ac:dyDescent="0.25">
      <c r="C325"/>
      <c r="D325"/>
    </row>
    <row r="326" spans="3:4" x14ac:dyDescent="0.25">
      <c r="C326"/>
      <c r="D326"/>
    </row>
    <row r="327" spans="3:4" x14ac:dyDescent="0.25">
      <c r="C327"/>
      <c r="D327"/>
    </row>
    <row r="328" spans="3:4" x14ac:dyDescent="0.25">
      <c r="C328"/>
      <c r="D328"/>
    </row>
    <row r="329" spans="3:4" x14ac:dyDescent="0.25">
      <c r="C329"/>
      <c r="D329"/>
    </row>
    <row r="330" spans="3:4" x14ac:dyDescent="0.25">
      <c r="C330"/>
      <c r="D330"/>
    </row>
    <row r="331" spans="3:4" x14ac:dyDescent="0.25">
      <c r="C331"/>
      <c r="D331"/>
    </row>
    <row r="332" spans="3:4" x14ac:dyDescent="0.25">
      <c r="C332"/>
      <c r="D332"/>
    </row>
    <row r="333" spans="3:4" x14ac:dyDescent="0.25">
      <c r="C333"/>
      <c r="D333"/>
    </row>
    <row r="334" spans="3:4" x14ac:dyDescent="0.25">
      <c r="C334"/>
      <c r="D334"/>
    </row>
    <row r="335" spans="3:4" x14ac:dyDescent="0.25">
      <c r="C335"/>
      <c r="D335"/>
    </row>
    <row r="336" spans="3:4" x14ac:dyDescent="0.25">
      <c r="C336"/>
      <c r="D336"/>
    </row>
    <row r="337" spans="3:4" x14ac:dyDescent="0.25">
      <c r="C337"/>
      <c r="D337"/>
    </row>
    <row r="338" spans="3:4" x14ac:dyDescent="0.25">
      <c r="C338"/>
      <c r="D338"/>
    </row>
    <row r="339" spans="3:4" x14ac:dyDescent="0.25">
      <c r="C339"/>
      <c r="D339"/>
    </row>
    <row r="340" spans="3:4" x14ac:dyDescent="0.25">
      <c r="C340"/>
      <c r="D340"/>
    </row>
    <row r="341" spans="3:4" x14ac:dyDescent="0.25">
      <c r="C341"/>
      <c r="D341"/>
    </row>
    <row r="342" spans="3:4" x14ac:dyDescent="0.25">
      <c r="C342"/>
      <c r="D342"/>
    </row>
    <row r="343" spans="3:4" x14ac:dyDescent="0.25">
      <c r="C343"/>
      <c r="D343"/>
    </row>
    <row r="344" spans="3:4" x14ac:dyDescent="0.25">
      <c r="C344"/>
      <c r="D344"/>
    </row>
    <row r="345" spans="3:4" x14ac:dyDescent="0.25">
      <c r="C345"/>
      <c r="D345"/>
    </row>
    <row r="346" spans="3:4" x14ac:dyDescent="0.25">
      <c r="C346"/>
      <c r="D346"/>
    </row>
    <row r="347" spans="3:4" x14ac:dyDescent="0.25">
      <c r="C347"/>
      <c r="D347"/>
    </row>
    <row r="348" spans="3:4" x14ac:dyDescent="0.25">
      <c r="C348"/>
      <c r="D348"/>
    </row>
    <row r="349" spans="3:4" x14ac:dyDescent="0.25">
      <c r="C349"/>
      <c r="D349"/>
    </row>
    <row r="350" spans="3:4" x14ac:dyDescent="0.25">
      <c r="C350"/>
      <c r="D350"/>
    </row>
    <row r="351" spans="3:4" x14ac:dyDescent="0.25">
      <c r="C351"/>
      <c r="D351"/>
    </row>
    <row r="352" spans="3:4" x14ac:dyDescent="0.25">
      <c r="C352"/>
      <c r="D352"/>
    </row>
    <row r="353" spans="3:4" x14ac:dyDescent="0.25">
      <c r="C353"/>
      <c r="D353"/>
    </row>
    <row r="354" spans="3:4" x14ac:dyDescent="0.25">
      <c r="C354"/>
      <c r="D354"/>
    </row>
    <row r="355" spans="3:4" x14ac:dyDescent="0.25">
      <c r="C355"/>
      <c r="D355"/>
    </row>
    <row r="356" spans="3:4" x14ac:dyDescent="0.25">
      <c r="C356"/>
      <c r="D356"/>
    </row>
    <row r="357" spans="3:4" x14ac:dyDescent="0.25">
      <c r="C357"/>
      <c r="D357"/>
    </row>
    <row r="358" spans="3:4" x14ac:dyDescent="0.25">
      <c r="C358"/>
      <c r="D358"/>
    </row>
    <row r="359" spans="3:4" x14ac:dyDescent="0.25">
      <c r="C359"/>
      <c r="D359"/>
    </row>
    <row r="360" spans="3:4" x14ac:dyDescent="0.25">
      <c r="C360"/>
      <c r="D360"/>
    </row>
    <row r="361" spans="3:4" x14ac:dyDescent="0.25">
      <c r="C361"/>
      <c r="D361"/>
    </row>
    <row r="362" spans="3:4" x14ac:dyDescent="0.25">
      <c r="C362"/>
      <c r="D362"/>
    </row>
    <row r="363" spans="3:4" x14ac:dyDescent="0.25">
      <c r="C363"/>
      <c r="D363"/>
    </row>
    <row r="364" spans="3:4" x14ac:dyDescent="0.25">
      <c r="C364"/>
      <c r="D364"/>
    </row>
    <row r="365" spans="3:4" x14ac:dyDescent="0.25">
      <c r="C365"/>
      <c r="D365"/>
    </row>
    <row r="366" spans="3:4" x14ac:dyDescent="0.25">
      <c r="C366"/>
      <c r="D366"/>
    </row>
    <row r="367" spans="3:4" x14ac:dyDescent="0.25">
      <c r="C367"/>
      <c r="D367"/>
    </row>
    <row r="368" spans="3:4" x14ac:dyDescent="0.25">
      <c r="C368"/>
      <c r="D368"/>
    </row>
    <row r="369" spans="3:4" x14ac:dyDescent="0.25">
      <c r="C369"/>
      <c r="D369"/>
    </row>
    <row r="370" spans="3:4" x14ac:dyDescent="0.25">
      <c r="C370"/>
      <c r="D370"/>
    </row>
    <row r="371" spans="3:4" x14ac:dyDescent="0.25">
      <c r="C371"/>
      <c r="D371"/>
    </row>
    <row r="372" spans="3:4" x14ac:dyDescent="0.25">
      <c r="C372"/>
      <c r="D372"/>
    </row>
    <row r="373" spans="3:4" x14ac:dyDescent="0.25">
      <c r="C373"/>
      <c r="D373"/>
    </row>
    <row r="374" spans="3:4" x14ac:dyDescent="0.25">
      <c r="C374"/>
      <c r="D374"/>
    </row>
    <row r="375" spans="3:4" x14ac:dyDescent="0.25">
      <c r="C375"/>
      <c r="D375"/>
    </row>
    <row r="376" spans="3:4" x14ac:dyDescent="0.25">
      <c r="C376"/>
      <c r="D376"/>
    </row>
    <row r="377" spans="3:4" x14ac:dyDescent="0.25">
      <c r="C377"/>
      <c r="D377"/>
    </row>
    <row r="378" spans="3:4" x14ac:dyDescent="0.25">
      <c r="C378"/>
      <c r="D378"/>
    </row>
    <row r="379" spans="3:4" x14ac:dyDescent="0.25">
      <c r="C379"/>
      <c r="D379"/>
    </row>
    <row r="380" spans="3:4" x14ac:dyDescent="0.25">
      <c r="C380"/>
      <c r="D380"/>
    </row>
    <row r="381" spans="3:4" x14ac:dyDescent="0.25">
      <c r="C381"/>
      <c r="D381"/>
    </row>
    <row r="382" spans="3:4" x14ac:dyDescent="0.25">
      <c r="C382"/>
      <c r="D382"/>
    </row>
    <row r="383" spans="3:4" x14ac:dyDescent="0.25">
      <c r="C383"/>
      <c r="D383"/>
    </row>
    <row r="384" spans="3:4" x14ac:dyDescent="0.25">
      <c r="C384"/>
      <c r="D384"/>
    </row>
    <row r="385" spans="3:4" x14ac:dyDescent="0.25">
      <c r="C385"/>
      <c r="D385"/>
    </row>
    <row r="386" spans="3:4" x14ac:dyDescent="0.25">
      <c r="C386"/>
      <c r="D386"/>
    </row>
    <row r="387" spans="3:4" x14ac:dyDescent="0.25">
      <c r="C387"/>
      <c r="D387"/>
    </row>
    <row r="388" spans="3:4" x14ac:dyDescent="0.25">
      <c r="C388"/>
      <c r="D388"/>
    </row>
    <row r="389" spans="3:4" x14ac:dyDescent="0.25">
      <c r="C389"/>
      <c r="D389"/>
    </row>
    <row r="390" spans="3:4" x14ac:dyDescent="0.25">
      <c r="C390"/>
      <c r="D390"/>
    </row>
    <row r="391" spans="3:4" x14ac:dyDescent="0.25">
      <c r="C391"/>
      <c r="D391"/>
    </row>
    <row r="392" spans="3:4" x14ac:dyDescent="0.25">
      <c r="C392"/>
      <c r="D392"/>
    </row>
    <row r="393" spans="3:4" x14ac:dyDescent="0.25">
      <c r="C393"/>
      <c r="D393"/>
    </row>
    <row r="394" spans="3:4" x14ac:dyDescent="0.25">
      <c r="C394"/>
      <c r="D394"/>
    </row>
    <row r="395" spans="3:4" x14ac:dyDescent="0.25">
      <c r="C395"/>
      <c r="D395"/>
    </row>
    <row r="396" spans="3:4" x14ac:dyDescent="0.25">
      <c r="C396"/>
      <c r="D396"/>
    </row>
    <row r="397" spans="3:4" x14ac:dyDescent="0.25">
      <c r="C397"/>
      <c r="D397"/>
    </row>
    <row r="398" spans="3:4" x14ac:dyDescent="0.25">
      <c r="C398"/>
      <c r="D398"/>
    </row>
    <row r="399" spans="3:4" x14ac:dyDescent="0.25">
      <c r="C399"/>
      <c r="D399"/>
    </row>
    <row r="400" spans="3:4" x14ac:dyDescent="0.25">
      <c r="C400"/>
      <c r="D400"/>
    </row>
    <row r="401" spans="3:4" x14ac:dyDescent="0.25">
      <c r="C401"/>
      <c r="D401"/>
    </row>
    <row r="402" spans="3:4" x14ac:dyDescent="0.25">
      <c r="C402"/>
      <c r="D402"/>
    </row>
    <row r="403" spans="3:4" x14ac:dyDescent="0.25">
      <c r="C403"/>
      <c r="D403"/>
    </row>
    <row r="404" spans="3:4" x14ac:dyDescent="0.25">
      <c r="C404"/>
      <c r="D404"/>
    </row>
    <row r="405" spans="3:4" x14ac:dyDescent="0.25">
      <c r="C405"/>
      <c r="D405"/>
    </row>
    <row r="406" spans="3:4" x14ac:dyDescent="0.25">
      <c r="C406"/>
      <c r="D406"/>
    </row>
    <row r="407" spans="3:4" x14ac:dyDescent="0.25">
      <c r="C407"/>
      <c r="D407"/>
    </row>
    <row r="408" spans="3:4" x14ac:dyDescent="0.25">
      <c r="C408"/>
      <c r="D408"/>
    </row>
    <row r="409" spans="3:4" x14ac:dyDescent="0.25">
      <c r="C409"/>
      <c r="D409"/>
    </row>
    <row r="410" spans="3:4" x14ac:dyDescent="0.25">
      <c r="C410"/>
      <c r="D410"/>
    </row>
    <row r="411" spans="3:4" x14ac:dyDescent="0.25">
      <c r="C411"/>
      <c r="D411"/>
    </row>
    <row r="412" spans="3:4" x14ac:dyDescent="0.25">
      <c r="C412"/>
      <c r="D412"/>
    </row>
    <row r="413" spans="3:4" x14ac:dyDescent="0.25">
      <c r="C413"/>
      <c r="D413"/>
    </row>
    <row r="414" spans="3:4" x14ac:dyDescent="0.25">
      <c r="C414"/>
      <c r="D414"/>
    </row>
    <row r="415" spans="3:4" x14ac:dyDescent="0.25">
      <c r="C415"/>
      <c r="D415"/>
    </row>
    <row r="416" spans="3:4" x14ac:dyDescent="0.25">
      <c r="C416"/>
      <c r="D416"/>
    </row>
    <row r="417" spans="3:4" x14ac:dyDescent="0.25">
      <c r="C417"/>
      <c r="D417"/>
    </row>
    <row r="418" spans="3:4" x14ac:dyDescent="0.25">
      <c r="C418"/>
      <c r="D418"/>
    </row>
    <row r="419" spans="3:4" x14ac:dyDescent="0.25">
      <c r="C419"/>
      <c r="D419"/>
    </row>
    <row r="420" spans="3:4" x14ac:dyDescent="0.25">
      <c r="C420"/>
      <c r="D420"/>
    </row>
    <row r="421" spans="3:4" x14ac:dyDescent="0.25">
      <c r="C421"/>
      <c r="D421"/>
    </row>
    <row r="422" spans="3:4" x14ac:dyDescent="0.25">
      <c r="C422"/>
      <c r="D422"/>
    </row>
    <row r="423" spans="3:4" x14ac:dyDescent="0.25">
      <c r="C423"/>
      <c r="D423"/>
    </row>
    <row r="424" spans="3:4" x14ac:dyDescent="0.25">
      <c r="C424"/>
      <c r="D424"/>
    </row>
    <row r="425" spans="3:4" x14ac:dyDescent="0.25">
      <c r="C425"/>
      <c r="D425"/>
    </row>
    <row r="426" spans="3:4" x14ac:dyDescent="0.25">
      <c r="C426"/>
      <c r="D426"/>
    </row>
    <row r="427" spans="3:4" x14ac:dyDescent="0.25">
      <c r="C427"/>
      <c r="D427"/>
    </row>
    <row r="428" spans="3:4" x14ac:dyDescent="0.25">
      <c r="C428"/>
      <c r="D428"/>
    </row>
    <row r="429" spans="3:4" x14ac:dyDescent="0.25">
      <c r="C429"/>
      <c r="D429"/>
    </row>
    <row r="430" spans="3:4" x14ac:dyDescent="0.25">
      <c r="C430"/>
      <c r="D430"/>
    </row>
    <row r="431" spans="3:4" x14ac:dyDescent="0.25">
      <c r="C431"/>
      <c r="D431"/>
    </row>
    <row r="432" spans="3:4" x14ac:dyDescent="0.25">
      <c r="C432"/>
      <c r="D432"/>
    </row>
    <row r="433" spans="3:4" x14ac:dyDescent="0.25">
      <c r="C433"/>
      <c r="D433"/>
    </row>
    <row r="434" spans="3:4" x14ac:dyDescent="0.25">
      <c r="C434"/>
      <c r="D434"/>
    </row>
    <row r="435" spans="3:4" x14ac:dyDescent="0.25">
      <c r="C435"/>
      <c r="D435"/>
    </row>
    <row r="436" spans="3:4" x14ac:dyDescent="0.25">
      <c r="C436"/>
      <c r="D436"/>
    </row>
    <row r="437" spans="3:4" x14ac:dyDescent="0.25">
      <c r="C437"/>
      <c r="D437"/>
    </row>
    <row r="438" spans="3:4" x14ac:dyDescent="0.25">
      <c r="C438"/>
      <c r="D438"/>
    </row>
    <row r="439" spans="3:4" x14ac:dyDescent="0.25">
      <c r="C439"/>
      <c r="D439"/>
    </row>
    <row r="440" spans="3:4" x14ac:dyDescent="0.25">
      <c r="C440"/>
      <c r="D440"/>
    </row>
    <row r="441" spans="3:4" x14ac:dyDescent="0.25">
      <c r="C441"/>
      <c r="D441"/>
    </row>
    <row r="442" spans="3:4" x14ac:dyDescent="0.25">
      <c r="C442"/>
      <c r="D442"/>
    </row>
    <row r="443" spans="3:4" x14ac:dyDescent="0.25">
      <c r="C443"/>
      <c r="D443"/>
    </row>
    <row r="444" spans="3:4" x14ac:dyDescent="0.25">
      <c r="C444"/>
      <c r="D444"/>
    </row>
    <row r="445" spans="3:4" x14ac:dyDescent="0.25">
      <c r="C445"/>
      <c r="D445"/>
    </row>
    <row r="446" spans="3:4" x14ac:dyDescent="0.25">
      <c r="C446"/>
      <c r="D446"/>
    </row>
    <row r="447" spans="3:4" x14ac:dyDescent="0.25">
      <c r="C447"/>
      <c r="D447"/>
    </row>
    <row r="448" spans="3:4" x14ac:dyDescent="0.25">
      <c r="C448"/>
      <c r="D448"/>
    </row>
    <row r="449" spans="3:4" x14ac:dyDescent="0.25">
      <c r="C449"/>
      <c r="D449"/>
    </row>
    <row r="450" spans="3:4" x14ac:dyDescent="0.25">
      <c r="C450"/>
      <c r="D450"/>
    </row>
    <row r="451" spans="3:4" x14ac:dyDescent="0.25">
      <c r="C451"/>
      <c r="D451"/>
    </row>
    <row r="452" spans="3:4" x14ac:dyDescent="0.25">
      <c r="C452"/>
      <c r="D452"/>
    </row>
    <row r="453" spans="3:4" x14ac:dyDescent="0.25">
      <c r="C453"/>
      <c r="D453"/>
    </row>
    <row r="454" spans="3:4" x14ac:dyDescent="0.25">
      <c r="C454"/>
      <c r="D454"/>
    </row>
    <row r="455" spans="3:4" x14ac:dyDescent="0.25">
      <c r="C455"/>
      <c r="D455"/>
    </row>
    <row r="456" spans="3:4" x14ac:dyDescent="0.25">
      <c r="C456"/>
      <c r="D456"/>
    </row>
    <row r="457" spans="3:4" x14ac:dyDescent="0.25">
      <c r="C457"/>
      <c r="D457"/>
    </row>
    <row r="458" spans="3:4" x14ac:dyDescent="0.25">
      <c r="C458"/>
      <c r="D458"/>
    </row>
    <row r="459" spans="3:4" x14ac:dyDescent="0.25">
      <c r="C459"/>
      <c r="D459"/>
    </row>
    <row r="460" spans="3:4" x14ac:dyDescent="0.25">
      <c r="C460"/>
      <c r="D460"/>
    </row>
    <row r="461" spans="3:4" x14ac:dyDescent="0.25">
      <c r="C461"/>
      <c r="D461"/>
    </row>
    <row r="462" spans="3:4" x14ac:dyDescent="0.25">
      <c r="C462"/>
      <c r="D462"/>
    </row>
    <row r="463" spans="3:4" x14ac:dyDescent="0.25">
      <c r="C463"/>
      <c r="D463"/>
    </row>
    <row r="464" spans="3:4" x14ac:dyDescent="0.25">
      <c r="C464"/>
      <c r="D464"/>
    </row>
    <row r="465" spans="3:4" x14ac:dyDescent="0.25">
      <c r="C465"/>
      <c r="D465"/>
    </row>
    <row r="466" spans="3:4" x14ac:dyDescent="0.25">
      <c r="C466"/>
      <c r="D466"/>
    </row>
    <row r="467" spans="3:4" x14ac:dyDescent="0.25">
      <c r="C467"/>
      <c r="D467"/>
    </row>
    <row r="468" spans="3:4" x14ac:dyDescent="0.25">
      <c r="C468"/>
      <c r="D468"/>
    </row>
    <row r="469" spans="3:4" x14ac:dyDescent="0.25">
      <c r="C469"/>
      <c r="D469"/>
    </row>
    <row r="470" spans="3:4" x14ac:dyDescent="0.25">
      <c r="C470"/>
      <c r="D470"/>
    </row>
    <row r="471" spans="3:4" x14ac:dyDescent="0.25">
      <c r="C471"/>
      <c r="D471"/>
    </row>
    <row r="472" spans="3:4" x14ac:dyDescent="0.25">
      <c r="C472"/>
      <c r="D472"/>
    </row>
    <row r="473" spans="3:4" x14ac:dyDescent="0.25">
      <c r="C473"/>
      <c r="D473"/>
    </row>
    <row r="474" spans="3:4" x14ac:dyDescent="0.25">
      <c r="C474"/>
      <c r="D474"/>
    </row>
    <row r="475" spans="3:4" x14ac:dyDescent="0.25">
      <c r="C475"/>
      <c r="D475"/>
    </row>
    <row r="476" spans="3:4" x14ac:dyDescent="0.25">
      <c r="C476"/>
      <c r="D476"/>
    </row>
    <row r="477" spans="3:4" x14ac:dyDescent="0.25">
      <c r="C477"/>
      <c r="D477"/>
    </row>
    <row r="478" spans="3:4" x14ac:dyDescent="0.25">
      <c r="C478"/>
      <c r="D478"/>
    </row>
    <row r="479" spans="3:4" x14ac:dyDescent="0.25">
      <c r="C479"/>
      <c r="D479"/>
    </row>
    <row r="480" spans="3:4" x14ac:dyDescent="0.25">
      <c r="C480"/>
      <c r="D480"/>
    </row>
    <row r="481" spans="3:4" x14ac:dyDescent="0.25">
      <c r="C481"/>
      <c r="D481"/>
    </row>
    <row r="482" spans="3:4" x14ac:dyDescent="0.25">
      <c r="C482"/>
      <c r="D482"/>
    </row>
    <row r="483" spans="3:4" x14ac:dyDescent="0.25">
      <c r="C483"/>
      <c r="D483"/>
    </row>
    <row r="484" spans="3:4" x14ac:dyDescent="0.25">
      <c r="C484"/>
      <c r="D484"/>
    </row>
    <row r="485" spans="3:4" x14ac:dyDescent="0.25">
      <c r="C485"/>
      <c r="D485"/>
    </row>
    <row r="486" spans="3:4" x14ac:dyDescent="0.25">
      <c r="C486"/>
      <c r="D486"/>
    </row>
    <row r="487" spans="3:4" x14ac:dyDescent="0.25">
      <c r="C487"/>
      <c r="D487"/>
    </row>
    <row r="488" spans="3:4" x14ac:dyDescent="0.25">
      <c r="C488"/>
      <c r="D488"/>
    </row>
    <row r="489" spans="3:4" x14ac:dyDescent="0.25">
      <c r="C489"/>
      <c r="D489"/>
    </row>
    <row r="490" spans="3:4" x14ac:dyDescent="0.25">
      <c r="C490"/>
      <c r="D490"/>
    </row>
    <row r="491" spans="3:4" x14ac:dyDescent="0.25">
      <c r="C491"/>
      <c r="D491"/>
    </row>
    <row r="492" spans="3:4" x14ac:dyDescent="0.25">
      <c r="C492"/>
      <c r="D492"/>
    </row>
    <row r="493" spans="3:4" x14ac:dyDescent="0.25">
      <c r="C493"/>
      <c r="D493"/>
    </row>
    <row r="494" spans="3:4" x14ac:dyDescent="0.25">
      <c r="C494"/>
      <c r="D494"/>
    </row>
    <row r="495" spans="3:4" x14ac:dyDescent="0.25">
      <c r="C495"/>
      <c r="D495"/>
    </row>
    <row r="496" spans="3:4" x14ac:dyDescent="0.25">
      <c r="C496"/>
      <c r="D496"/>
    </row>
    <row r="497" spans="3:4" x14ac:dyDescent="0.25">
      <c r="C497"/>
      <c r="D497"/>
    </row>
    <row r="498" spans="3:4" x14ac:dyDescent="0.25">
      <c r="C498"/>
      <c r="D498"/>
    </row>
    <row r="499" spans="3:4" x14ac:dyDescent="0.25">
      <c r="C499"/>
      <c r="D499"/>
    </row>
    <row r="500" spans="3:4" x14ac:dyDescent="0.25">
      <c r="C500"/>
      <c r="D500"/>
    </row>
    <row r="501" spans="3:4" x14ac:dyDescent="0.25">
      <c r="C501"/>
      <c r="D501"/>
    </row>
    <row r="502" spans="3:4" x14ac:dyDescent="0.25">
      <c r="C502"/>
      <c r="D502"/>
    </row>
    <row r="503" spans="3:4" x14ac:dyDescent="0.25">
      <c r="C503"/>
      <c r="D503"/>
    </row>
    <row r="504" spans="3:4" x14ac:dyDescent="0.25">
      <c r="C504"/>
      <c r="D504"/>
    </row>
    <row r="505" spans="3:4" x14ac:dyDescent="0.25">
      <c r="C505"/>
      <c r="D505"/>
    </row>
    <row r="506" spans="3:4" x14ac:dyDescent="0.25">
      <c r="C506"/>
      <c r="D506"/>
    </row>
    <row r="507" spans="3:4" x14ac:dyDescent="0.25">
      <c r="C507"/>
      <c r="D507"/>
    </row>
    <row r="508" spans="3:4" x14ac:dyDescent="0.25">
      <c r="C508"/>
      <c r="D508"/>
    </row>
    <row r="509" spans="3:4" x14ac:dyDescent="0.25">
      <c r="C509"/>
      <c r="D509"/>
    </row>
    <row r="510" spans="3:4" x14ac:dyDescent="0.25">
      <c r="C510"/>
      <c r="D510"/>
    </row>
    <row r="511" spans="3:4" x14ac:dyDescent="0.25">
      <c r="C511"/>
      <c r="D511"/>
    </row>
    <row r="512" spans="3:4" x14ac:dyDescent="0.25">
      <c r="C512"/>
      <c r="D512"/>
    </row>
    <row r="513" spans="3:4" x14ac:dyDescent="0.25">
      <c r="C513"/>
      <c r="D513"/>
    </row>
    <row r="514" spans="3:4" x14ac:dyDescent="0.25">
      <c r="C514"/>
      <c r="D514"/>
    </row>
    <row r="515" spans="3:4" x14ac:dyDescent="0.25">
      <c r="C515"/>
      <c r="D515"/>
    </row>
    <row r="516" spans="3:4" x14ac:dyDescent="0.25">
      <c r="C516"/>
      <c r="D516"/>
    </row>
    <row r="517" spans="3:4" x14ac:dyDescent="0.25">
      <c r="C517"/>
      <c r="D517"/>
    </row>
    <row r="518" spans="3:4" x14ac:dyDescent="0.25">
      <c r="C518"/>
      <c r="D518"/>
    </row>
    <row r="519" spans="3:4" x14ac:dyDescent="0.25">
      <c r="C519"/>
      <c r="D519"/>
    </row>
    <row r="520" spans="3:4" x14ac:dyDescent="0.25">
      <c r="C520"/>
      <c r="D520"/>
    </row>
    <row r="521" spans="3:4" x14ac:dyDescent="0.25">
      <c r="C521"/>
      <c r="D521"/>
    </row>
    <row r="522" spans="3:4" x14ac:dyDescent="0.25">
      <c r="C522"/>
      <c r="D522"/>
    </row>
    <row r="523" spans="3:4" x14ac:dyDescent="0.25">
      <c r="C523"/>
      <c r="D523"/>
    </row>
    <row r="524" spans="3:4" x14ac:dyDescent="0.25">
      <c r="C524"/>
      <c r="D524"/>
    </row>
    <row r="525" spans="3:4" x14ac:dyDescent="0.25">
      <c r="C525"/>
      <c r="D525"/>
    </row>
    <row r="526" spans="3:4" x14ac:dyDescent="0.25">
      <c r="C526"/>
      <c r="D526"/>
    </row>
    <row r="527" spans="3:4" x14ac:dyDescent="0.25">
      <c r="C527"/>
      <c r="D527"/>
    </row>
    <row r="528" spans="3:4" x14ac:dyDescent="0.25">
      <c r="C528"/>
      <c r="D528"/>
    </row>
    <row r="529" spans="3:4" x14ac:dyDescent="0.25">
      <c r="C529"/>
      <c r="D529"/>
    </row>
    <row r="530" spans="3:4" x14ac:dyDescent="0.25">
      <c r="C530"/>
      <c r="D530"/>
    </row>
    <row r="531" spans="3:4" x14ac:dyDescent="0.25">
      <c r="C531"/>
      <c r="D531"/>
    </row>
    <row r="532" spans="3:4" x14ac:dyDescent="0.25">
      <c r="C532"/>
      <c r="D532"/>
    </row>
    <row r="533" spans="3:4" x14ac:dyDescent="0.25">
      <c r="C533"/>
      <c r="D533"/>
    </row>
    <row r="534" spans="3:4" x14ac:dyDescent="0.25">
      <c r="C534"/>
      <c r="D534"/>
    </row>
    <row r="535" spans="3:4" x14ac:dyDescent="0.25">
      <c r="C535"/>
      <c r="D535"/>
    </row>
    <row r="536" spans="3:4" x14ac:dyDescent="0.25">
      <c r="C536"/>
      <c r="D536"/>
    </row>
    <row r="537" spans="3:4" x14ac:dyDescent="0.25">
      <c r="C537"/>
      <c r="D537"/>
    </row>
    <row r="538" spans="3:4" x14ac:dyDescent="0.25">
      <c r="C538"/>
      <c r="D538"/>
    </row>
    <row r="539" spans="3:4" x14ac:dyDescent="0.25">
      <c r="C539"/>
      <c r="D539"/>
    </row>
    <row r="540" spans="3:4" x14ac:dyDescent="0.25">
      <c r="C540"/>
      <c r="D540"/>
    </row>
    <row r="541" spans="3:4" x14ac:dyDescent="0.25">
      <c r="C541"/>
      <c r="D541"/>
    </row>
    <row r="542" spans="3:4" x14ac:dyDescent="0.25">
      <c r="C542"/>
      <c r="D542"/>
    </row>
    <row r="543" spans="3:4" x14ac:dyDescent="0.25">
      <c r="C543"/>
      <c r="D543"/>
    </row>
    <row r="544" spans="3:4" x14ac:dyDescent="0.25">
      <c r="C544"/>
      <c r="D544"/>
    </row>
    <row r="545" spans="3:4" x14ac:dyDescent="0.25">
      <c r="C545"/>
      <c r="D545"/>
    </row>
    <row r="546" spans="3:4" x14ac:dyDescent="0.25">
      <c r="C546"/>
      <c r="D546"/>
    </row>
    <row r="547" spans="3:4" x14ac:dyDescent="0.25">
      <c r="C547"/>
      <c r="D547"/>
    </row>
    <row r="548" spans="3:4" x14ac:dyDescent="0.25">
      <c r="C548"/>
      <c r="D548"/>
    </row>
    <row r="549" spans="3:4" x14ac:dyDescent="0.25">
      <c r="C549"/>
      <c r="D549"/>
    </row>
    <row r="550" spans="3:4" x14ac:dyDescent="0.25">
      <c r="C550"/>
      <c r="D550"/>
    </row>
    <row r="551" spans="3:4" x14ac:dyDescent="0.25">
      <c r="C551"/>
      <c r="D551"/>
    </row>
    <row r="552" spans="3:4" x14ac:dyDescent="0.25">
      <c r="C552"/>
      <c r="D552"/>
    </row>
    <row r="553" spans="3:4" x14ac:dyDescent="0.25">
      <c r="C553"/>
      <c r="D553"/>
    </row>
    <row r="554" spans="3:4" x14ac:dyDescent="0.25">
      <c r="C554"/>
      <c r="D554"/>
    </row>
    <row r="555" spans="3:4" x14ac:dyDescent="0.25">
      <c r="C555"/>
      <c r="D555"/>
    </row>
    <row r="556" spans="3:4" x14ac:dyDescent="0.25">
      <c r="C556"/>
      <c r="D556"/>
    </row>
    <row r="557" spans="3:4" x14ac:dyDescent="0.25">
      <c r="C557"/>
      <c r="D557"/>
    </row>
    <row r="558" spans="3:4" x14ac:dyDescent="0.25">
      <c r="C558"/>
      <c r="D558"/>
    </row>
    <row r="559" spans="3:4" x14ac:dyDescent="0.25">
      <c r="C559"/>
      <c r="D559"/>
    </row>
    <row r="560" spans="3:4" x14ac:dyDescent="0.25">
      <c r="C560"/>
      <c r="D560"/>
    </row>
    <row r="561" spans="3:4" x14ac:dyDescent="0.25">
      <c r="C561"/>
      <c r="D561"/>
    </row>
    <row r="562" spans="3:4" x14ac:dyDescent="0.25">
      <c r="C562"/>
      <c r="D562"/>
    </row>
    <row r="563" spans="3:4" x14ac:dyDescent="0.25">
      <c r="C563"/>
      <c r="D563"/>
    </row>
    <row r="564" spans="3:4" x14ac:dyDescent="0.25">
      <c r="C564"/>
      <c r="D564"/>
    </row>
    <row r="565" spans="3:4" x14ac:dyDescent="0.25">
      <c r="C565"/>
      <c r="D565"/>
    </row>
    <row r="566" spans="3:4" x14ac:dyDescent="0.25">
      <c r="C566"/>
      <c r="D566"/>
    </row>
    <row r="567" spans="3:4" x14ac:dyDescent="0.25">
      <c r="C567"/>
      <c r="D567"/>
    </row>
    <row r="568" spans="3:4" x14ac:dyDescent="0.25">
      <c r="C568"/>
      <c r="D568"/>
    </row>
    <row r="569" spans="3:4" x14ac:dyDescent="0.25">
      <c r="C569"/>
      <c r="D569"/>
    </row>
    <row r="570" spans="3:4" x14ac:dyDescent="0.25">
      <c r="C570"/>
      <c r="D570"/>
    </row>
    <row r="571" spans="3:4" x14ac:dyDescent="0.25">
      <c r="C571"/>
      <c r="D571"/>
    </row>
    <row r="572" spans="3:4" x14ac:dyDescent="0.25">
      <c r="C572"/>
      <c r="D572"/>
    </row>
    <row r="573" spans="3:4" x14ac:dyDescent="0.25">
      <c r="C573"/>
      <c r="D573"/>
    </row>
    <row r="574" spans="3:4" x14ac:dyDescent="0.25">
      <c r="C574"/>
      <c r="D574"/>
    </row>
    <row r="575" spans="3:4" x14ac:dyDescent="0.25">
      <c r="C575"/>
      <c r="D575"/>
    </row>
    <row r="576" spans="3:4" x14ac:dyDescent="0.25">
      <c r="C576"/>
      <c r="D576"/>
    </row>
    <row r="577" spans="3:4" x14ac:dyDescent="0.25">
      <c r="C577"/>
      <c r="D577"/>
    </row>
    <row r="578" spans="3:4" x14ac:dyDescent="0.25">
      <c r="C578"/>
      <c r="D578"/>
    </row>
    <row r="579" spans="3:4" x14ac:dyDescent="0.25">
      <c r="C579"/>
      <c r="D579"/>
    </row>
    <row r="580" spans="3:4" x14ac:dyDescent="0.25">
      <c r="C580"/>
      <c r="D580"/>
    </row>
    <row r="581" spans="3:4" x14ac:dyDescent="0.25">
      <c r="C581"/>
      <c r="D581"/>
    </row>
    <row r="582" spans="3:4" x14ac:dyDescent="0.25">
      <c r="C582"/>
      <c r="D582"/>
    </row>
    <row r="583" spans="3:4" x14ac:dyDescent="0.25">
      <c r="C583"/>
      <c r="D583"/>
    </row>
    <row r="584" spans="3:4" x14ac:dyDescent="0.25">
      <c r="C584"/>
      <c r="D584"/>
    </row>
    <row r="585" spans="3:4" x14ac:dyDescent="0.25">
      <c r="C585"/>
      <c r="D585"/>
    </row>
    <row r="586" spans="3:4" x14ac:dyDescent="0.25">
      <c r="C586"/>
      <c r="D586"/>
    </row>
    <row r="587" spans="3:4" x14ac:dyDescent="0.25">
      <c r="C587"/>
      <c r="D587"/>
    </row>
    <row r="588" spans="3:4" x14ac:dyDescent="0.25">
      <c r="C588"/>
      <c r="D588"/>
    </row>
    <row r="589" spans="3:4" x14ac:dyDescent="0.25">
      <c r="C589"/>
      <c r="D589"/>
    </row>
    <row r="590" spans="3:4" x14ac:dyDescent="0.25">
      <c r="C590"/>
      <c r="D590"/>
    </row>
    <row r="591" spans="3:4" x14ac:dyDescent="0.25">
      <c r="C591"/>
      <c r="D591"/>
    </row>
    <row r="592" spans="3:4" x14ac:dyDescent="0.25">
      <c r="C592"/>
      <c r="D592"/>
    </row>
    <row r="593" spans="3:4" x14ac:dyDescent="0.25">
      <c r="C593"/>
      <c r="D593"/>
    </row>
    <row r="594" spans="3:4" x14ac:dyDescent="0.25">
      <c r="C594"/>
      <c r="D594"/>
    </row>
    <row r="595" spans="3:4" x14ac:dyDescent="0.25">
      <c r="C595"/>
      <c r="D595"/>
    </row>
    <row r="596" spans="3:4" x14ac:dyDescent="0.25">
      <c r="C596"/>
      <c r="D596"/>
    </row>
    <row r="597" spans="3:4" x14ac:dyDescent="0.25">
      <c r="C597"/>
      <c r="D597"/>
    </row>
    <row r="598" spans="3:4" x14ac:dyDescent="0.25">
      <c r="C598"/>
      <c r="D598"/>
    </row>
    <row r="599" spans="3:4" x14ac:dyDescent="0.25">
      <c r="C599"/>
      <c r="D599"/>
    </row>
    <row r="600" spans="3:4" x14ac:dyDescent="0.25">
      <c r="C600"/>
      <c r="D600"/>
    </row>
    <row r="601" spans="3:4" x14ac:dyDescent="0.25">
      <c r="C601"/>
      <c r="D601"/>
    </row>
    <row r="602" spans="3:4" x14ac:dyDescent="0.25">
      <c r="C602"/>
      <c r="D602"/>
    </row>
    <row r="603" spans="3:4" x14ac:dyDescent="0.25">
      <c r="C603"/>
      <c r="D603"/>
    </row>
    <row r="604" spans="3:4" x14ac:dyDescent="0.25">
      <c r="C604"/>
      <c r="D604"/>
    </row>
    <row r="605" spans="3:4" x14ac:dyDescent="0.25">
      <c r="C605"/>
      <c r="D605"/>
    </row>
    <row r="606" spans="3:4" x14ac:dyDescent="0.25">
      <c r="C606"/>
      <c r="D606"/>
    </row>
    <row r="607" spans="3:4" x14ac:dyDescent="0.25">
      <c r="C607"/>
      <c r="D607"/>
    </row>
    <row r="608" spans="3:4" x14ac:dyDescent="0.25">
      <c r="C608"/>
      <c r="D608"/>
    </row>
    <row r="609" spans="3:4" x14ac:dyDescent="0.25">
      <c r="C609"/>
      <c r="D609"/>
    </row>
    <row r="610" spans="3:4" x14ac:dyDescent="0.25">
      <c r="C610"/>
      <c r="D610"/>
    </row>
    <row r="611" spans="3:4" x14ac:dyDescent="0.25">
      <c r="C611"/>
      <c r="D611"/>
    </row>
    <row r="612" spans="3:4" x14ac:dyDescent="0.25">
      <c r="C612"/>
      <c r="D612"/>
    </row>
    <row r="613" spans="3:4" x14ac:dyDescent="0.25">
      <c r="C613"/>
      <c r="D613"/>
    </row>
    <row r="614" spans="3:4" x14ac:dyDescent="0.25">
      <c r="C614"/>
      <c r="D614"/>
    </row>
    <row r="615" spans="3:4" x14ac:dyDescent="0.25">
      <c r="C615"/>
      <c r="D615"/>
    </row>
    <row r="616" spans="3:4" x14ac:dyDescent="0.25">
      <c r="C616"/>
      <c r="D616"/>
    </row>
    <row r="617" spans="3:4" x14ac:dyDescent="0.25">
      <c r="C617"/>
      <c r="D617"/>
    </row>
    <row r="618" spans="3:4" x14ac:dyDescent="0.25">
      <c r="C618"/>
      <c r="D618"/>
    </row>
    <row r="619" spans="3:4" x14ac:dyDescent="0.25">
      <c r="C619"/>
      <c r="D619"/>
    </row>
    <row r="620" spans="3:4" x14ac:dyDescent="0.25">
      <c r="C620"/>
      <c r="D620"/>
    </row>
    <row r="621" spans="3:4" x14ac:dyDescent="0.25">
      <c r="C621"/>
      <c r="D621"/>
    </row>
    <row r="622" spans="3:4" x14ac:dyDescent="0.25">
      <c r="C622"/>
      <c r="D622"/>
    </row>
    <row r="623" spans="3:4" x14ac:dyDescent="0.25">
      <c r="C623"/>
      <c r="D623"/>
    </row>
    <row r="624" spans="3:4" x14ac:dyDescent="0.25">
      <c r="C624"/>
      <c r="D624"/>
    </row>
    <row r="625" spans="3:4" x14ac:dyDescent="0.25">
      <c r="C625"/>
      <c r="D625"/>
    </row>
    <row r="626" spans="3:4" x14ac:dyDescent="0.25">
      <c r="C626"/>
      <c r="D626"/>
    </row>
    <row r="627" spans="3:4" x14ac:dyDescent="0.25">
      <c r="C627"/>
      <c r="D627"/>
    </row>
    <row r="628" spans="3:4" x14ac:dyDescent="0.25">
      <c r="C628"/>
      <c r="D628"/>
    </row>
    <row r="629" spans="3:4" x14ac:dyDescent="0.25">
      <c r="C629"/>
      <c r="D629"/>
    </row>
    <row r="630" spans="3:4" x14ac:dyDescent="0.25">
      <c r="C630"/>
      <c r="D630"/>
    </row>
    <row r="631" spans="3:4" x14ac:dyDescent="0.25">
      <c r="C631"/>
      <c r="D631"/>
    </row>
    <row r="632" spans="3:4" x14ac:dyDescent="0.25">
      <c r="C632"/>
      <c r="D632"/>
    </row>
    <row r="633" spans="3:4" x14ac:dyDescent="0.25">
      <c r="C633"/>
      <c r="D633"/>
    </row>
    <row r="634" spans="3:4" x14ac:dyDescent="0.25">
      <c r="C634"/>
      <c r="D634"/>
    </row>
    <row r="635" spans="3:4" x14ac:dyDescent="0.25">
      <c r="C635"/>
      <c r="D635"/>
    </row>
    <row r="636" spans="3:4" x14ac:dyDescent="0.25">
      <c r="C636"/>
      <c r="D636"/>
    </row>
    <row r="637" spans="3:4" x14ac:dyDescent="0.25">
      <c r="C637"/>
      <c r="D637"/>
    </row>
    <row r="638" spans="3:4" x14ac:dyDescent="0.25">
      <c r="C638"/>
      <c r="D638"/>
    </row>
    <row r="639" spans="3:4" x14ac:dyDescent="0.25">
      <c r="C639"/>
      <c r="D639"/>
    </row>
    <row r="640" spans="3:4" x14ac:dyDescent="0.25">
      <c r="C640"/>
      <c r="D640"/>
    </row>
    <row r="641" spans="3:4" x14ac:dyDescent="0.25">
      <c r="C641"/>
      <c r="D641"/>
    </row>
    <row r="642" spans="3:4" x14ac:dyDescent="0.25">
      <c r="C642"/>
      <c r="D642"/>
    </row>
    <row r="643" spans="3:4" x14ac:dyDescent="0.25">
      <c r="C643"/>
      <c r="D643"/>
    </row>
    <row r="644" spans="3:4" x14ac:dyDescent="0.25">
      <c r="C644"/>
      <c r="D644"/>
    </row>
    <row r="645" spans="3:4" x14ac:dyDescent="0.25">
      <c r="C645"/>
      <c r="D645"/>
    </row>
    <row r="646" spans="3:4" x14ac:dyDescent="0.25">
      <c r="C646"/>
      <c r="D646"/>
    </row>
    <row r="647" spans="3:4" x14ac:dyDescent="0.25">
      <c r="C647"/>
      <c r="D647"/>
    </row>
    <row r="648" spans="3:4" x14ac:dyDescent="0.25">
      <c r="C648"/>
      <c r="D648"/>
    </row>
    <row r="649" spans="3:4" x14ac:dyDescent="0.25">
      <c r="C649"/>
      <c r="D649"/>
    </row>
    <row r="650" spans="3:4" x14ac:dyDescent="0.25">
      <c r="C650"/>
      <c r="D650"/>
    </row>
    <row r="651" spans="3:4" x14ac:dyDescent="0.25">
      <c r="C651"/>
      <c r="D651"/>
    </row>
    <row r="652" spans="3:4" x14ac:dyDescent="0.25">
      <c r="C652"/>
      <c r="D652"/>
    </row>
    <row r="653" spans="3:4" x14ac:dyDescent="0.25">
      <c r="C653"/>
      <c r="D653"/>
    </row>
    <row r="654" spans="3:4" x14ac:dyDescent="0.25">
      <c r="C654"/>
      <c r="D654"/>
    </row>
    <row r="655" spans="3:4" x14ac:dyDescent="0.25">
      <c r="C655"/>
      <c r="D655"/>
    </row>
    <row r="656" spans="3:4" x14ac:dyDescent="0.25">
      <c r="C656"/>
      <c r="D656"/>
    </row>
    <row r="657" spans="3:4" x14ac:dyDescent="0.25">
      <c r="C657"/>
      <c r="D657"/>
    </row>
    <row r="658" spans="3:4" x14ac:dyDescent="0.25">
      <c r="C658"/>
      <c r="D658"/>
    </row>
    <row r="659" spans="3:4" x14ac:dyDescent="0.25">
      <c r="C659"/>
      <c r="D659"/>
    </row>
    <row r="660" spans="3:4" x14ac:dyDescent="0.25">
      <c r="C660"/>
      <c r="D660"/>
    </row>
    <row r="661" spans="3:4" x14ac:dyDescent="0.25">
      <c r="C661"/>
      <c r="D661"/>
    </row>
    <row r="662" spans="3:4" x14ac:dyDescent="0.25">
      <c r="C662"/>
      <c r="D662"/>
    </row>
    <row r="663" spans="3:4" x14ac:dyDescent="0.25">
      <c r="C663"/>
      <c r="D663"/>
    </row>
    <row r="664" spans="3:4" x14ac:dyDescent="0.25">
      <c r="C664"/>
      <c r="D664"/>
    </row>
    <row r="665" spans="3:4" x14ac:dyDescent="0.25">
      <c r="C665"/>
      <c r="D665"/>
    </row>
    <row r="666" spans="3:4" x14ac:dyDescent="0.25">
      <c r="C666"/>
      <c r="D666"/>
    </row>
    <row r="667" spans="3:4" x14ac:dyDescent="0.25">
      <c r="C667"/>
      <c r="D667"/>
    </row>
    <row r="668" spans="3:4" x14ac:dyDescent="0.25">
      <c r="C668"/>
      <c r="D668"/>
    </row>
    <row r="669" spans="3:4" x14ac:dyDescent="0.25">
      <c r="C669"/>
      <c r="D669"/>
    </row>
    <row r="670" spans="3:4" x14ac:dyDescent="0.25">
      <c r="C670"/>
      <c r="D670"/>
    </row>
    <row r="671" spans="3:4" x14ac:dyDescent="0.25">
      <c r="C671"/>
      <c r="D671"/>
    </row>
    <row r="672" spans="3:4" x14ac:dyDescent="0.25">
      <c r="C672"/>
      <c r="D672"/>
    </row>
    <row r="673" spans="3:4" x14ac:dyDescent="0.25">
      <c r="C673"/>
      <c r="D673"/>
    </row>
    <row r="674" spans="3:4" x14ac:dyDescent="0.25">
      <c r="C674"/>
      <c r="D674"/>
    </row>
    <row r="675" spans="3:4" x14ac:dyDescent="0.25">
      <c r="C675"/>
      <c r="D675"/>
    </row>
    <row r="676" spans="3:4" x14ac:dyDescent="0.25">
      <c r="C676"/>
      <c r="D676"/>
    </row>
    <row r="677" spans="3:4" x14ac:dyDescent="0.25">
      <c r="C677"/>
      <c r="D677"/>
    </row>
    <row r="678" spans="3:4" x14ac:dyDescent="0.25">
      <c r="C678"/>
      <c r="D678"/>
    </row>
    <row r="679" spans="3:4" x14ac:dyDescent="0.25">
      <c r="C679"/>
      <c r="D679"/>
    </row>
    <row r="680" spans="3:4" x14ac:dyDescent="0.25">
      <c r="C680"/>
      <c r="D680"/>
    </row>
    <row r="681" spans="3:4" x14ac:dyDescent="0.25">
      <c r="C681"/>
      <c r="D681"/>
    </row>
    <row r="682" spans="3:4" x14ac:dyDescent="0.25">
      <c r="C682"/>
      <c r="D682"/>
    </row>
    <row r="683" spans="3:4" x14ac:dyDescent="0.25">
      <c r="C683"/>
      <c r="D683"/>
    </row>
    <row r="684" spans="3:4" x14ac:dyDescent="0.25">
      <c r="C684"/>
      <c r="D684"/>
    </row>
    <row r="685" spans="3:4" x14ac:dyDescent="0.25">
      <c r="C685"/>
      <c r="D685"/>
    </row>
    <row r="686" spans="3:4" x14ac:dyDescent="0.25">
      <c r="C686"/>
      <c r="D686"/>
    </row>
    <row r="687" spans="3:4" x14ac:dyDescent="0.25">
      <c r="C687"/>
      <c r="D687"/>
    </row>
    <row r="688" spans="3:4" x14ac:dyDescent="0.25">
      <c r="C688"/>
      <c r="D688"/>
    </row>
    <row r="689" spans="3:4" x14ac:dyDescent="0.25">
      <c r="C689"/>
      <c r="D689"/>
    </row>
    <row r="690" spans="3:4" x14ac:dyDescent="0.25">
      <c r="C690"/>
      <c r="D690"/>
    </row>
    <row r="691" spans="3:4" x14ac:dyDescent="0.25">
      <c r="C691"/>
      <c r="D691"/>
    </row>
    <row r="692" spans="3:4" x14ac:dyDescent="0.25">
      <c r="C692"/>
      <c r="D692"/>
    </row>
    <row r="693" spans="3:4" x14ac:dyDescent="0.25">
      <c r="C693"/>
      <c r="D693"/>
    </row>
    <row r="694" spans="3:4" x14ac:dyDescent="0.25">
      <c r="C694"/>
      <c r="D694"/>
    </row>
    <row r="695" spans="3:4" x14ac:dyDescent="0.25">
      <c r="C695"/>
      <c r="D695"/>
    </row>
    <row r="696" spans="3:4" x14ac:dyDescent="0.25">
      <c r="C696"/>
      <c r="D696"/>
    </row>
    <row r="697" spans="3:4" x14ac:dyDescent="0.25">
      <c r="C697"/>
      <c r="D697"/>
    </row>
    <row r="698" spans="3:4" x14ac:dyDescent="0.25">
      <c r="C698"/>
      <c r="D698"/>
    </row>
    <row r="699" spans="3:4" x14ac:dyDescent="0.25">
      <c r="C699"/>
      <c r="D699"/>
    </row>
    <row r="700" spans="3:4" x14ac:dyDescent="0.25">
      <c r="C700"/>
      <c r="D700"/>
    </row>
    <row r="701" spans="3:4" x14ac:dyDescent="0.25">
      <c r="C701"/>
      <c r="D701"/>
    </row>
    <row r="702" spans="3:4" x14ac:dyDescent="0.25">
      <c r="C702"/>
      <c r="D702"/>
    </row>
    <row r="703" spans="3:4" x14ac:dyDescent="0.25">
      <c r="C703"/>
      <c r="D703"/>
    </row>
    <row r="704" spans="3:4" x14ac:dyDescent="0.25">
      <c r="C704"/>
      <c r="D704"/>
    </row>
    <row r="705" spans="3:4" x14ac:dyDescent="0.25">
      <c r="C705"/>
      <c r="D705"/>
    </row>
    <row r="706" spans="3:4" x14ac:dyDescent="0.25">
      <c r="C706"/>
      <c r="D706"/>
    </row>
    <row r="707" spans="3:4" x14ac:dyDescent="0.25">
      <c r="C707"/>
      <c r="D707"/>
    </row>
    <row r="708" spans="3:4" x14ac:dyDescent="0.25">
      <c r="C708"/>
      <c r="D708"/>
    </row>
    <row r="709" spans="3:4" x14ac:dyDescent="0.25">
      <c r="C709"/>
      <c r="D709"/>
    </row>
    <row r="710" spans="3:4" x14ac:dyDescent="0.25">
      <c r="C710"/>
      <c r="D710"/>
    </row>
    <row r="711" spans="3:4" x14ac:dyDescent="0.25">
      <c r="C711"/>
      <c r="D711"/>
    </row>
    <row r="712" spans="3:4" x14ac:dyDescent="0.25">
      <c r="C712"/>
      <c r="D712"/>
    </row>
    <row r="713" spans="3:4" x14ac:dyDescent="0.25">
      <c r="C713"/>
      <c r="D713"/>
    </row>
    <row r="714" spans="3:4" x14ac:dyDescent="0.25">
      <c r="C714"/>
      <c r="D714"/>
    </row>
    <row r="715" spans="3:4" x14ac:dyDescent="0.25">
      <c r="C715"/>
      <c r="D715"/>
    </row>
    <row r="716" spans="3:4" x14ac:dyDescent="0.25">
      <c r="C716"/>
      <c r="D716"/>
    </row>
    <row r="717" spans="3:4" x14ac:dyDescent="0.25">
      <c r="C717"/>
      <c r="D717"/>
    </row>
    <row r="718" spans="3:4" x14ac:dyDescent="0.25">
      <c r="C718"/>
      <c r="D718"/>
    </row>
    <row r="719" spans="3:4" x14ac:dyDescent="0.25">
      <c r="C719"/>
      <c r="D719"/>
    </row>
    <row r="720" spans="3:4" x14ac:dyDescent="0.25">
      <c r="C720"/>
      <c r="D720"/>
    </row>
    <row r="721" spans="3:4" x14ac:dyDescent="0.25">
      <c r="C721"/>
      <c r="D721"/>
    </row>
    <row r="722" spans="3:4" x14ac:dyDescent="0.25">
      <c r="C722"/>
      <c r="D722"/>
    </row>
    <row r="723" spans="3:4" x14ac:dyDescent="0.25">
      <c r="C723"/>
      <c r="D723"/>
    </row>
    <row r="724" spans="3:4" x14ac:dyDescent="0.25">
      <c r="C724"/>
      <c r="D724"/>
    </row>
    <row r="725" spans="3:4" x14ac:dyDescent="0.25">
      <c r="C725"/>
      <c r="D725"/>
    </row>
    <row r="726" spans="3:4" x14ac:dyDescent="0.25">
      <c r="C726"/>
      <c r="D726"/>
    </row>
    <row r="727" spans="3:4" x14ac:dyDescent="0.25">
      <c r="C727"/>
      <c r="D727"/>
    </row>
    <row r="728" spans="3:4" x14ac:dyDescent="0.25">
      <c r="C728"/>
      <c r="D728"/>
    </row>
    <row r="729" spans="3:4" x14ac:dyDescent="0.25">
      <c r="C729"/>
      <c r="D729"/>
    </row>
    <row r="730" spans="3:4" x14ac:dyDescent="0.25">
      <c r="C730"/>
      <c r="D730"/>
    </row>
    <row r="731" spans="3:4" x14ac:dyDescent="0.25">
      <c r="C731"/>
      <c r="D731"/>
    </row>
    <row r="732" spans="3:4" x14ac:dyDescent="0.25">
      <c r="C732"/>
      <c r="D732"/>
    </row>
    <row r="733" spans="3:4" x14ac:dyDescent="0.25">
      <c r="C733"/>
      <c r="D733"/>
    </row>
    <row r="734" spans="3:4" x14ac:dyDescent="0.25">
      <c r="C734"/>
      <c r="D734"/>
    </row>
    <row r="735" spans="3:4" x14ac:dyDescent="0.25">
      <c r="C735"/>
      <c r="D735"/>
    </row>
    <row r="736" spans="3:4" x14ac:dyDescent="0.25">
      <c r="C736"/>
      <c r="D736"/>
    </row>
    <row r="737" spans="3:4" x14ac:dyDescent="0.25">
      <c r="C737"/>
      <c r="D737"/>
    </row>
    <row r="738" spans="3:4" x14ac:dyDescent="0.25">
      <c r="C738"/>
      <c r="D738"/>
    </row>
    <row r="739" spans="3:4" x14ac:dyDescent="0.25">
      <c r="C739"/>
      <c r="D739"/>
    </row>
    <row r="740" spans="3:4" x14ac:dyDescent="0.25">
      <c r="C740"/>
      <c r="D740"/>
    </row>
    <row r="741" spans="3:4" x14ac:dyDescent="0.25">
      <c r="C741"/>
      <c r="D741"/>
    </row>
    <row r="742" spans="3:4" x14ac:dyDescent="0.25">
      <c r="C742"/>
      <c r="D742"/>
    </row>
    <row r="743" spans="3:4" x14ac:dyDescent="0.25">
      <c r="C743"/>
      <c r="D743"/>
    </row>
    <row r="744" spans="3:4" x14ac:dyDescent="0.25">
      <c r="C744"/>
      <c r="D744"/>
    </row>
    <row r="745" spans="3:4" x14ac:dyDescent="0.25">
      <c r="C745"/>
      <c r="D745"/>
    </row>
    <row r="746" spans="3:4" x14ac:dyDescent="0.25">
      <c r="C746"/>
      <c r="D746"/>
    </row>
    <row r="747" spans="3:4" x14ac:dyDescent="0.25">
      <c r="C747"/>
      <c r="D747"/>
    </row>
    <row r="748" spans="3:4" x14ac:dyDescent="0.25">
      <c r="C748"/>
      <c r="D748"/>
    </row>
    <row r="749" spans="3:4" x14ac:dyDescent="0.25">
      <c r="C749"/>
      <c r="D749"/>
    </row>
    <row r="750" spans="3:4" x14ac:dyDescent="0.25">
      <c r="C750"/>
      <c r="D750"/>
    </row>
    <row r="751" spans="3:4" x14ac:dyDescent="0.25">
      <c r="C751"/>
      <c r="D751"/>
    </row>
    <row r="752" spans="3:4" x14ac:dyDescent="0.25">
      <c r="C752"/>
      <c r="D752"/>
    </row>
    <row r="753" spans="3:4" x14ac:dyDescent="0.25">
      <c r="C753"/>
      <c r="D753"/>
    </row>
    <row r="754" spans="3:4" x14ac:dyDescent="0.25">
      <c r="C754"/>
      <c r="D754"/>
    </row>
    <row r="755" spans="3:4" x14ac:dyDescent="0.25">
      <c r="C755"/>
      <c r="D755"/>
    </row>
    <row r="756" spans="3:4" x14ac:dyDescent="0.25">
      <c r="C756"/>
      <c r="D756"/>
    </row>
    <row r="757" spans="3:4" x14ac:dyDescent="0.25">
      <c r="C757"/>
      <c r="D757"/>
    </row>
    <row r="758" spans="3:4" x14ac:dyDescent="0.25">
      <c r="C758"/>
      <c r="D758"/>
    </row>
    <row r="759" spans="3:4" x14ac:dyDescent="0.25">
      <c r="C759"/>
      <c r="D759"/>
    </row>
    <row r="760" spans="3:4" x14ac:dyDescent="0.25">
      <c r="C760"/>
      <c r="D760"/>
    </row>
    <row r="761" spans="3:4" x14ac:dyDescent="0.25">
      <c r="C761"/>
      <c r="D761"/>
    </row>
    <row r="762" spans="3:4" x14ac:dyDescent="0.25">
      <c r="C762"/>
      <c r="D762"/>
    </row>
    <row r="763" spans="3:4" x14ac:dyDescent="0.25">
      <c r="C763"/>
      <c r="D763"/>
    </row>
    <row r="764" spans="3:4" x14ac:dyDescent="0.25">
      <c r="C764"/>
      <c r="D764"/>
    </row>
    <row r="765" spans="3:4" x14ac:dyDescent="0.25">
      <c r="C765"/>
      <c r="D765"/>
    </row>
    <row r="766" spans="3:4" x14ac:dyDescent="0.25">
      <c r="C766"/>
      <c r="D766"/>
    </row>
    <row r="767" spans="3:4" x14ac:dyDescent="0.25">
      <c r="C767"/>
      <c r="D767"/>
    </row>
    <row r="768" spans="3:4" x14ac:dyDescent="0.25">
      <c r="C768"/>
      <c r="D768"/>
    </row>
    <row r="769" spans="3:4" x14ac:dyDescent="0.25">
      <c r="C769"/>
      <c r="D769"/>
    </row>
    <row r="770" spans="3:4" x14ac:dyDescent="0.25">
      <c r="C770"/>
      <c r="D770"/>
    </row>
    <row r="771" spans="3:4" x14ac:dyDescent="0.25">
      <c r="C771"/>
      <c r="D771"/>
    </row>
    <row r="772" spans="3:4" x14ac:dyDescent="0.25">
      <c r="C772"/>
      <c r="D772"/>
    </row>
    <row r="773" spans="3:4" x14ac:dyDescent="0.25">
      <c r="C773"/>
      <c r="D773"/>
    </row>
    <row r="774" spans="3:4" x14ac:dyDescent="0.25">
      <c r="C774"/>
      <c r="D774"/>
    </row>
    <row r="775" spans="3:4" x14ac:dyDescent="0.25">
      <c r="C775"/>
      <c r="D775"/>
    </row>
    <row r="776" spans="3:4" x14ac:dyDescent="0.25">
      <c r="C776"/>
      <c r="D776"/>
    </row>
    <row r="777" spans="3:4" x14ac:dyDescent="0.25">
      <c r="C777"/>
      <c r="D777"/>
    </row>
    <row r="778" spans="3:4" x14ac:dyDescent="0.25">
      <c r="C778"/>
      <c r="D778"/>
    </row>
    <row r="779" spans="3:4" x14ac:dyDescent="0.25">
      <c r="C779"/>
      <c r="D779"/>
    </row>
    <row r="780" spans="3:4" x14ac:dyDescent="0.25">
      <c r="C780"/>
      <c r="D780"/>
    </row>
    <row r="781" spans="3:4" x14ac:dyDescent="0.25">
      <c r="C781"/>
      <c r="D781"/>
    </row>
    <row r="782" spans="3:4" x14ac:dyDescent="0.25">
      <c r="C782"/>
      <c r="D782"/>
    </row>
    <row r="783" spans="3:4" x14ac:dyDescent="0.25">
      <c r="C783"/>
      <c r="D783"/>
    </row>
    <row r="784" spans="3:4" x14ac:dyDescent="0.25">
      <c r="C784"/>
      <c r="D784"/>
    </row>
    <row r="785" spans="3:4" x14ac:dyDescent="0.25">
      <c r="C785"/>
      <c r="D785"/>
    </row>
    <row r="786" spans="3:4" x14ac:dyDescent="0.25">
      <c r="C786"/>
      <c r="D786"/>
    </row>
    <row r="787" spans="3:4" x14ac:dyDescent="0.25">
      <c r="C787"/>
      <c r="D787"/>
    </row>
    <row r="788" spans="3:4" x14ac:dyDescent="0.25">
      <c r="C788"/>
      <c r="D788"/>
    </row>
    <row r="789" spans="3:4" x14ac:dyDescent="0.25">
      <c r="C789"/>
      <c r="D789"/>
    </row>
    <row r="790" spans="3:4" x14ac:dyDescent="0.25">
      <c r="C790"/>
      <c r="D790"/>
    </row>
    <row r="791" spans="3:4" x14ac:dyDescent="0.25">
      <c r="C791"/>
      <c r="D791"/>
    </row>
    <row r="792" spans="3:4" x14ac:dyDescent="0.25">
      <c r="C792"/>
      <c r="D792"/>
    </row>
    <row r="793" spans="3:4" x14ac:dyDescent="0.25">
      <c r="C793"/>
      <c r="D793"/>
    </row>
    <row r="794" spans="3:4" x14ac:dyDescent="0.25">
      <c r="C794"/>
      <c r="D794"/>
    </row>
    <row r="795" spans="3:4" x14ac:dyDescent="0.25">
      <c r="C795"/>
      <c r="D795"/>
    </row>
    <row r="796" spans="3:4" x14ac:dyDescent="0.25">
      <c r="C796"/>
      <c r="D796"/>
    </row>
    <row r="797" spans="3:4" x14ac:dyDescent="0.25">
      <c r="C797"/>
      <c r="D797"/>
    </row>
    <row r="798" spans="3:4" x14ac:dyDescent="0.25">
      <c r="C798"/>
      <c r="D798"/>
    </row>
    <row r="799" spans="3:4" x14ac:dyDescent="0.25">
      <c r="C799"/>
      <c r="D799"/>
    </row>
    <row r="800" spans="3:4" x14ac:dyDescent="0.25">
      <c r="C800"/>
      <c r="D800"/>
    </row>
    <row r="801" spans="3:4" x14ac:dyDescent="0.25">
      <c r="C801"/>
      <c r="D801"/>
    </row>
    <row r="802" spans="3:4" x14ac:dyDescent="0.25">
      <c r="C802"/>
      <c r="D802"/>
    </row>
    <row r="803" spans="3:4" x14ac:dyDescent="0.25">
      <c r="C803"/>
      <c r="D803"/>
    </row>
    <row r="804" spans="3:4" x14ac:dyDescent="0.25">
      <c r="C804"/>
      <c r="D804"/>
    </row>
    <row r="805" spans="3:4" x14ac:dyDescent="0.25">
      <c r="C805"/>
      <c r="D805"/>
    </row>
    <row r="806" spans="3:4" x14ac:dyDescent="0.25">
      <c r="C806"/>
      <c r="D806"/>
    </row>
  </sheetData>
  <mergeCells count="2">
    <mergeCell ref="C1:D2"/>
    <mergeCell ref="A1:B2"/>
  </mergeCells>
  <pageMargins left="0.7" right="0.7" top="0.75" bottom="0.75" header="0.3" footer="0.3"/>
  <pageSetup paperSize="9"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1152"/>
  <sheetViews>
    <sheetView zoomScaleNormal="100" workbookViewId="0">
      <selection activeCell="C3" sqref="C1:D1048576"/>
    </sheetView>
  </sheetViews>
  <sheetFormatPr baseColWidth="10" defaultColWidth="11.42578125" defaultRowHeight="15" x14ac:dyDescent="0.25"/>
  <cols>
    <col min="1" max="1" width="35.7109375" style="1" bestFit="1" customWidth="1"/>
    <col min="2" max="2" width="27.85546875" style="1" bestFit="1" customWidth="1"/>
    <col min="3" max="3" width="58" style="1" bestFit="1" customWidth="1"/>
    <col min="4" max="4" width="27.85546875" style="1" customWidth="1"/>
    <col min="5" max="5" width="8.5703125" style="1" customWidth="1"/>
    <col min="6" max="6" width="16.5703125" style="1" customWidth="1"/>
    <col min="7" max="8" width="11.42578125" style="1"/>
    <col min="9" max="9" width="12.42578125" style="1" customWidth="1"/>
    <col min="10" max="29" width="11.42578125" style="1"/>
  </cols>
  <sheetData>
    <row r="1" spans="1:29" s="119" customFormat="1" x14ac:dyDescent="0.25">
      <c r="A1" s="216">
        <v>2020</v>
      </c>
      <c r="B1" s="217"/>
      <c r="C1" s="216">
        <v>2021</v>
      </c>
      <c r="D1" s="217"/>
      <c r="E1" s="2"/>
      <c r="F1" s="2"/>
      <c r="G1" s="2"/>
      <c r="H1" s="2"/>
      <c r="I1" s="2"/>
      <c r="J1" s="2"/>
      <c r="K1" s="2"/>
      <c r="L1" s="2"/>
      <c r="M1" s="2"/>
      <c r="N1" s="2"/>
      <c r="O1" s="2"/>
      <c r="P1" s="2"/>
      <c r="Q1" s="2"/>
      <c r="R1" s="2"/>
      <c r="S1" s="2"/>
      <c r="T1" s="2"/>
      <c r="U1" s="2"/>
      <c r="V1" s="2"/>
      <c r="W1" s="2"/>
      <c r="X1" s="2"/>
      <c r="Y1" s="2"/>
      <c r="Z1" s="2"/>
      <c r="AA1" s="2"/>
      <c r="AB1" s="2"/>
      <c r="AC1" s="2"/>
    </row>
    <row r="2" spans="1:29" s="119" customFormat="1" ht="15.75" thickBot="1" x14ac:dyDescent="0.3">
      <c r="A2" s="218"/>
      <c r="B2" s="219"/>
      <c r="C2" s="218"/>
      <c r="D2" s="219"/>
      <c r="E2" s="2"/>
      <c r="F2" s="2"/>
      <c r="G2" s="2"/>
      <c r="H2" s="2"/>
      <c r="I2" s="2"/>
      <c r="J2" s="2"/>
      <c r="K2" s="2"/>
      <c r="L2" s="2"/>
      <c r="M2" s="2"/>
      <c r="N2" s="2"/>
      <c r="O2" s="2"/>
      <c r="P2" s="2"/>
      <c r="Q2" s="2"/>
      <c r="R2" s="2"/>
      <c r="S2" s="2"/>
      <c r="T2" s="2"/>
      <c r="U2" s="2"/>
      <c r="V2" s="2"/>
      <c r="W2" s="2"/>
      <c r="X2" s="2"/>
      <c r="Y2" s="2"/>
      <c r="Z2" s="2"/>
      <c r="AA2" s="2"/>
      <c r="AB2" s="2"/>
      <c r="AC2" s="2"/>
    </row>
    <row r="3" spans="1:29" ht="15.75" thickBot="1" x14ac:dyDescent="0.3">
      <c r="A3" s="1" t="s">
        <v>1932</v>
      </c>
      <c r="B3" s="1" t="s">
        <v>1934</v>
      </c>
      <c r="C3" s="1" t="s">
        <v>1932</v>
      </c>
      <c r="D3" s="1" t="s">
        <v>1934</v>
      </c>
      <c r="E3" s="66"/>
      <c r="F3" s="66"/>
      <c r="G3" s="70" t="s">
        <v>1936</v>
      </c>
      <c r="H3" s="71" t="s">
        <v>1937</v>
      </c>
      <c r="I3" s="72" t="s">
        <v>1938</v>
      </c>
      <c r="J3" s="66"/>
      <c r="K3" s="66"/>
      <c r="L3" s="66"/>
      <c r="M3" s="66"/>
      <c r="N3" s="66"/>
      <c r="O3" s="66"/>
      <c r="P3" s="66"/>
      <c r="Q3" s="66"/>
      <c r="R3" s="66"/>
      <c r="S3" s="66"/>
      <c r="T3" s="66"/>
      <c r="U3" s="66"/>
      <c r="V3" s="66"/>
      <c r="W3" s="66"/>
      <c r="X3" s="66"/>
      <c r="Y3" s="66"/>
      <c r="Z3" s="66"/>
      <c r="AA3" s="66"/>
      <c r="AB3" s="66"/>
      <c r="AC3" s="66"/>
    </row>
    <row r="4" spans="1:29" ht="15.75" thickBot="1" x14ac:dyDescent="0.3">
      <c r="A4" s="3" t="s">
        <v>1022</v>
      </c>
      <c r="B4" s="1">
        <v>67</v>
      </c>
      <c r="C4" s="139" t="s">
        <v>1022</v>
      </c>
      <c r="D4">
        <v>53</v>
      </c>
      <c r="F4" s="39" t="str">
        <f>+A4</f>
        <v>MERCADO</v>
      </c>
      <c r="G4" s="46">
        <f>+GETPIVOTDATA("SUBCLASIFICACION",$C$3,"CLASIFICACION","MERCADO")</f>
        <v>53</v>
      </c>
      <c r="H4" s="57">
        <f t="shared" ref="H4:H9" si="0">+G4/$G$11</f>
        <v>0.32317073170731708</v>
      </c>
      <c r="I4" s="58">
        <f>+H4</f>
        <v>0.32317073170731708</v>
      </c>
    </row>
    <row r="5" spans="1:29" ht="15.75" thickBot="1" x14ac:dyDescent="0.3">
      <c r="A5" s="4" t="s">
        <v>1023</v>
      </c>
      <c r="B5" s="1">
        <v>38</v>
      </c>
      <c r="C5" s="133" t="s">
        <v>1023</v>
      </c>
      <c r="D5">
        <v>28</v>
      </c>
      <c r="F5" s="40" t="str">
        <f>+C9</f>
        <v>SOCIAL</v>
      </c>
      <c r="G5" s="33">
        <f>+GETPIVOTDATA("SUBCLASIFICACION",$C$3,"CLASIFICACION","SOCIAL")</f>
        <v>31</v>
      </c>
      <c r="H5" s="57">
        <f t="shared" si="0"/>
        <v>0.18902439024390244</v>
      </c>
      <c r="I5" s="59">
        <f>+I4+H5</f>
        <v>0.51219512195121952</v>
      </c>
    </row>
    <row r="6" spans="1:29" ht="15.75" thickBot="1" x14ac:dyDescent="0.3">
      <c r="A6" s="4" t="s">
        <v>1306</v>
      </c>
      <c r="B6" s="1">
        <v>16</v>
      </c>
      <c r="C6" s="133" t="s">
        <v>1306</v>
      </c>
      <c r="D6">
        <v>16</v>
      </c>
      <c r="F6" s="40" t="str">
        <f>+C14</f>
        <v xml:space="preserve">AVANCES </v>
      </c>
      <c r="G6" s="33">
        <f>+GETPIVOTDATA("SUBCLASIFICACION",$C$3,"CLASIFICACION","TECNOLÓGICO")</f>
        <v>29</v>
      </c>
      <c r="H6" s="57">
        <f t="shared" si="0"/>
        <v>0.17682926829268292</v>
      </c>
      <c r="I6" s="59">
        <f>+I5+H6</f>
        <v>0.68902439024390238</v>
      </c>
    </row>
    <row r="7" spans="1:29" ht="15.75" thickBot="1" x14ac:dyDescent="0.3">
      <c r="A7" s="4" t="s">
        <v>10</v>
      </c>
      <c r="B7" s="1">
        <v>11</v>
      </c>
      <c r="C7" s="133" t="s">
        <v>1120</v>
      </c>
      <c r="D7">
        <v>6</v>
      </c>
      <c r="F7" s="40" t="str">
        <f>+C18</f>
        <v>LINEAMIENTOS</v>
      </c>
      <c r="G7" s="33">
        <f>+GETPIVOTDATA("SUBCLASIFICACION",$C$3,"CLASIFICACION","LEGAL ")</f>
        <v>25</v>
      </c>
      <c r="H7" s="57">
        <f t="shared" si="0"/>
        <v>0.1524390243902439</v>
      </c>
      <c r="I7" s="59">
        <f>+I6+H7</f>
        <v>0.84146341463414631</v>
      </c>
    </row>
    <row r="8" spans="1:29" ht="15.75" thickBot="1" x14ac:dyDescent="0.3">
      <c r="A8" s="4" t="s">
        <v>1120</v>
      </c>
      <c r="B8" s="1">
        <v>2</v>
      </c>
      <c r="C8" s="133" t="s">
        <v>1173</v>
      </c>
      <c r="D8">
        <v>3</v>
      </c>
      <c r="F8" s="40" t="str">
        <f>+C24</f>
        <v>RELACIONAMIENTO</v>
      </c>
      <c r="G8" s="33">
        <f>+GETPIVOTDATA("SUBCLASIFICACION",$C$3,"CLASIFICACION","POLÍTICO")</f>
        <v>22</v>
      </c>
      <c r="H8" s="57">
        <f t="shared" si="0"/>
        <v>0.13414634146341464</v>
      </c>
      <c r="I8" s="59">
        <f>+I7+H8</f>
        <v>0.97560975609756095</v>
      </c>
    </row>
    <row r="9" spans="1:29" ht="15.75" thickBot="1" x14ac:dyDescent="0.3">
      <c r="A9" s="3" t="s">
        <v>1950</v>
      </c>
      <c r="B9" s="1">
        <v>43</v>
      </c>
      <c r="C9" s="139" t="s">
        <v>1038</v>
      </c>
      <c r="D9">
        <v>31</v>
      </c>
      <c r="F9" s="40" t="str">
        <f>+C29</f>
        <v>PROCESO GESTIÓN DOCUMENTAL</v>
      </c>
      <c r="G9" s="33">
        <f>+GETPIVOTDATA("SUBCLASIFICACION",$C$3,"CLASIFICACION","ECONÓMICO ")</f>
        <v>4</v>
      </c>
      <c r="H9" s="57">
        <f t="shared" si="0"/>
        <v>2.4390243902439025E-2</v>
      </c>
      <c r="I9" s="59">
        <f>+I8+H9</f>
        <v>1</v>
      </c>
    </row>
    <row r="10" spans="1:29" ht="15.75" thickBot="1" x14ac:dyDescent="0.3">
      <c r="A10" s="4" t="s">
        <v>1307</v>
      </c>
      <c r="B10" s="1">
        <v>40</v>
      </c>
      <c r="C10" s="133" t="s">
        <v>1307</v>
      </c>
      <c r="D10">
        <v>26</v>
      </c>
      <c r="F10" s="42" t="str">
        <f>+A34</f>
        <v>Total general</v>
      </c>
      <c r="G10" s="36">
        <f>SUM(G4:G9)</f>
        <v>164</v>
      </c>
      <c r="H10" s="47"/>
      <c r="I10" s="35"/>
    </row>
    <row r="11" spans="1:29" ht="15.75" thickBot="1" x14ac:dyDescent="0.3">
      <c r="A11" s="4" t="s">
        <v>1124</v>
      </c>
      <c r="B11" s="1">
        <v>2</v>
      </c>
      <c r="C11" s="133" t="s">
        <v>1124</v>
      </c>
      <c r="D11">
        <v>3</v>
      </c>
      <c r="G11" s="45">
        <f>SUM(G4:G9)</f>
        <v>164</v>
      </c>
    </row>
    <row r="12" spans="1:29" x14ac:dyDescent="0.25">
      <c r="A12" s="4" t="s">
        <v>1051</v>
      </c>
      <c r="B12" s="1">
        <v>1</v>
      </c>
      <c r="C12" s="133" t="s">
        <v>1051</v>
      </c>
      <c r="D12">
        <v>2</v>
      </c>
    </row>
    <row r="13" spans="1:29" x14ac:dyDescent="0.25">
      <c r="A13" s="3" t="s">
        <v>1951</v>
      </c>
      <c r="B13" s="1">
        <v>39</v>
      </c>
      <c r="C13" s="139" t="s">
        <v>1061</v>
      </c>
      <c r="D13">
        <v>29</v>
      </c>
    </row>
    <row r="14" spans="1:29" x14ac:dyDescent="0.25">
      <c r="A14" s="4" t="s">
        <v>1356</v>
      </c>
      <c r="B14" s="1">
        <v>23</v>
      </c>
      <c r="C14" s="133" t="s">
        <v>1356</v>
      </c>
      <c r="D14">
        <v>14</v>
      </c>
    </row>
    <row r="15" spans="1:29" x14ac:dyDescent="0.25">
      <c r="A15" s="4" t="s">
        <v>1062</v>
      </c>
      <c r="B15" s="1">
        <v>13</v>
      </c>
      <c r="C15" s="133" t="s">
        <v>1062</v>
      </c>
      <c r="D15">
        <v>13</v>
      </c>
    </row>
    <row r="16" spans="1:29" x14ac:dyDescent="0.25">
      <c r="A16" s="4" t="s">
        <v>1912</v>
      </c>
      <c r="B16" s="1">
        <v>3</v>
      </c>
      <c r="C16" s="133" t="s">
        <v>1912</v>
      </c>
      <c r="D16">
        <v>2</v>
      </c>
    </row>
    <row r="17" spans="1:4" x14ac:dyDescent="0.25">
      <c r="A17" s="3" t="s">
        <v>1661</v>
      </c>
      <c r="B17" s="1">
        <v>29</v>
      </c>
      <c r="C17" s="139" t="s">
        <v>1021</v>
      </c>
      <c r="D17">
        <v>25</v>
      </c>
    </row>
    <row r="18" spans="1:4" x14ac:dyDescent="0.25">
      <c r="A18" s="4" t="s">
        <v>1911</v>
      </c>
      <c r="B18" s="1">
        <v>16</v>
      </c>
      <c r="C18" s="133" t="s">
        <v>1311</v>
      </c>
      <c r="D18">
        <v>10</v>
      </c>
    </row>
    <row r="19" spans="1:4" x14ac:dyDescent="0.25">
      <c r="A19" s="4" t="s">
        <v>172</v>
      </c>
      <c r="B19" s="1">
        <v>11</v>
      </c>
      <c r="C19" s="133" t="s">
        <v>70</v>
      </c>
      <c r="D19">
        <v>8</v>
      </c>
    </row>
    <row r="20" spans="1:4" x14ac:dyDescent="0.25">
      <c r="A20" s="4" t="s">
        <v>1910</v>
      </c>
      <c r="B20" s="1">
        <v>1</v>
      </c>
      <c r="C20" s="133" t="s">
        <v>1237</v>
      </c>
      <c r="D20">
        <v>4</v>
      </c>
    </row>
    <row r="21" spans="1:4" x14ac:dyDescent="0.25">
      <c r="A21" s="4" t="s">
        <v>487</v>
      </c>
      <c r="B21" s="1">
        <v>1</v>
      </c>
      <c r="C21" s="133" t="s">
        <v>1910</v>
      </c>
      <c r="D21">
        <v>2</v>
      </c>
    </row>
    <row r="22" spans="1:4" x14ac:dyDescent="0.25">
      <c r="A22" s="3" t="s">
        <v>1245</v>
      </c>
      <c r="B22" s="1">
        <v>28</v>
      </c>
      <c r="C22" s="133" t="s">
        <v>1026</v>
      </c>
      <c r="D22">
        <v>1</v>
      </c>
    </row>
    <row r="23" spans="1:4" x14ac:dyDescent="0.25">
      <c r="A23" s="4" t="s">
        <v>1311</v>
      </c>
      <c r="B23" s="1">
        <v>11</v>
      </c>
      <c r="C23" s="139" t="s">
        <v>1024</v>
      </c>
      <c r="D23">
        <v>22</v>
      </c>
    </row>
    <row r="24" spans="1:4" x14ac:dyDescent="0.25">
      <c r="A24" s="4" t="s">
        <v>70</v>
      </c>
      <c r="B24" s="1">
        <v>10</v>
      </c>
      <c r="C24" s="133" t="s">
        <v>172</v>
      </c>
      <c r="D24">
        <v>14</v>
      </c>
    </row>
    <row r="25" spans="1:4" x14ac:dyDescent="0.25">
      <c r="A25" s="4" t="s">
        <v>1237</v>
      </c>
      <c r="B25" s="1">
        <v>4</v>
      </c>
      <c r="C25" s="133" t="s">
        <v>1911</v>
      </c>
      <c r="D25">
        <v>6</v>
      </c>
    </row>
    <row r="26" spans="1:4" x14ac:dyDescent="0.25">
      <c r="A26" s="4" t="s">
        <v>1026</v>
      </c>
      <c r="B26" s="1">
        <v>2</v>
      </c>
      <c r="C26" s="133" t="s">
        <v>1025</v>
      </c>
      <c r="D26">
        <v>2</v>
      </c>
    </row>
    <row r="27" spans="1:4" x14ac:dyDescent="0.25">
      <c r="A27" s="4" t="s">
        <v>1910</v>
      </c>
      <c r="B27" s="1">
        <v>1</v>
      </c>
      <c r="C27" s="139" t="s">
        <v>1041</v>
      </c>
      <c r="D27">
        <v>4</v>
      </c>
    </row>
    <row r="28" spans="1:4" x14ac:dyDescent="0.25">
      <c r="A28" s="3" t="s">
        <v>1941</v>
      </c>
      <c r="B28" s="1">
        <v>4</v>
      </c>
      <c r="C28" s="133" t="s">
        <v>43</v>
      </c>
      <c r="D28">
        <v>2</v>
      </c>
    </row>
    <row r="29" spans="1:4" x14ac:dyDescent="0.25">
      <c r="A29" s="4" t="s">
        <v>43</v>
      </c>
      <c r="B29" s="1">
        <v>2</v>
      </c>
      <c r="C29" s="138" t="s">
        <v>246</v>
      </c>
      <c r="D29">
        <v>1</v>
      </c>
    </row>
    <row r="30" spans="1:4" x14ac:dyDescent="0.25">
      <c r="A30" s="4" t="s">
        <v>1191</v>
      </c>
      <c r="B30" s="1">
        <v>1</v>
      </c>
      <c r="C30" s="138" t="s">
        <v>102</v>
      </c>
      <c r="D30">
        <v>1</v>
      </c>
    </row>
    <row r="31" spans="1:4" x14ac:dyDescent="0.25">
      <c r="A31" s="4" t="s">
        <v>1942</v>
      </c>
      <c r="B31" s="1">
        <v>1</v>
      </c>
      <c r="C31" s="133" t="s">
        <v>1191</v>
      </c>
      <c r="D31">
        <v>1</v>
      </c>
    </row>
    <row r="32" spans="1:4" x14ac:dyDescent="0.25">
      <c r="A32" s="3" t="s">
        <v>1034</v>
      </c>
      <c r="B32" s="1">
        <v>1</v>
      </c>
      <c r="C32" s="138" t="s">
        <v>208</v>
      </c>
      <c r="D32">
        <v>1</v>
      </c>
    </row>
    <row r="33" spans="1:4" x14ac:dyDescent="0.25">
      <c r="A33" s="4" t="s">
        <v>1952</v>
      </c>
      <c r="B33" s="1">
        <v>1</v>
      </c>
      <c r="C33" s="133" t="s">
        <v>1042</v>
      </c>
      <c r="D33">
        <v>1</v>
      </c>
    </row>
    <row r="34" spans="1:4" x14ac:dyDescent="0.25">
      <c r="A34" s="3" t="s">
        <v>1940</v>
      </c>
      <c r="B34" s="1">
        <v>211</v>
      </c>
      <c r="C34" s="84" t="s">
        <v>409</v>
      </c>
      <c r="D34" s="1">
        <v>1</v>
      </c>
    </row>
    <row r="35" spans="1:4" x14ac:dyDescent="0.25">
      <c r="A35"/>
      <c r="B35"/>
      <c r="C35" s="3" t="s">
        <v>1940</v>
      </c>
      <c r="D35" s="1">
        <v>164</v>
      </c>
    </row>
    <row r="36" spans="1:4" x14ac:dyDescent="0.25">
      <c r="A36"/>
      <c r="B36"/>
      <c r="C36"/>
      <c r="D36"/>
    </row>
    <row r="37" spans="1:4" x14ac:dyDescent="0.25">
      <c r="A37"/>
      <c r="B37"/>
      <c r="C37"/>
      <c r="D37"/>
    </row>
    <row r="38" spans="1:4" x14ac:dyDescent="0.25">
      <c r="A38"/>
      <c r="B38"/>
      <c r="C38"/>
      <c r="D38"/>
    </row>
    <row r="39" spans="1:4" x14ac:dyDescent="0.25">
      <c r="A39"/>
      <c r="B39"/>
      <c r="C39"/>
      <c r="D39"/>
    </row>
    <row r="40" spans="1:4" x14ac:dyDescent="0.25">
      <c r="A40"/>
      <c r="B40"/>
      <c r="C40"/>
      <c r="D40"/>
    </row>
    <row r="41" spans="1:4" x14ac:dyDescent="0.25">
      <c r="A41"/>
      <c r="B41"/>
      <c r="C41"/>
      <c r="D41"/>
    </row>
    <row r="42" spans="1:4" x14ac:dyDescent="0.25">
      <c r="A42"/>
      <c r="B42"/>
      <c r="C42"/>
      <c r="D42"/>
    </row>
    <row r="43" spans="1:4" x14ac:dyDescent="0.25">
      <c r="A43"/>
      <c r="B43"/>
      <c r="C43"/>
      <c r="D43"/>
    </row>
    <row r="44" spans="1:4" x14ac:dyDescent="0.25">
      <c r="A44"/>
      <c r="B44"/>
      <c r="C44"/>
      <c r="D44"/>
    </row>
    <row r="45" spans="1:4" x14ac:dyDescent="0.25">
      <c r="A45"/>
      <c r="B45"/>
      <c r="C45"/>
      <c r="D45"/>
    </row>
    <row r="46" spans="1:4" x14ac:dyDescent="0.25">
      <c r="A46"/>
      <c r="B46"/>
      <c r="C46"/>
      <c r="D46"/>
    </row>
    <row r="47" spans="1:4" x14ac:dyDescent="0.25">
      <c r="A47"/>
      <c r="B47"/>
      <c r="C47"/>
      <c r="D47"/>
    </row>
    <row r="48" spans="1:4" x14ac:dyDescent="0.25">
      <c r="A48"/>
      <c r="B48"/>
      <c r="C48"/>
      <c r="D48"/>
    </row>
    <row r="49" spans="1:4" x14ac:dyDescent="0.25">
      <c r="A49"/>
      <c r="B49"/>
      <c r="C49"/>
      <c r="D49"/>
    </row>
    <row r="50" spans="1:4" x14ac:dyDescent="0.25">
      <c r="A50"/>
      <c r="B50"/>
      <c r="C50"/>
      <c r="D50"/>
    </row>
    <row r="51" spans="1:4" x14ac:dyDescent="0.25">
      <c r="A51"/>
      <c r="B51"/>
      <c r="C51"/>
      <c r="D51"/>
    </row>
    <row r="52" spans="1:4" x14ac:dyDescent="0.25">
      <c r="A52"/>
      <c r="B52"/>
      <c r="C52"/>
      <c r="D52"/>
    </row>
    <row r="53" spans="1:4" x14ac:dyDescent="0.25">
      <c r="A53"/>
      <c r="B53"/>
      <c r="C53"/>
      <c r="D53"/>
    </row>
    <row r="54" spans="1:4" x14ac:dyDescent="0.25">
      <c r="A54"/>
      <c r="B54"/>
      <c r="C54"/>
      <c r="D54"/>
    </row>
    <row r="55" spans="1:4" x14ac:dyDescent="0.25">
      <c r="A55"/>
      <c r="B55"/>
      <c r="C55"/>
      <c r="D55"/>
    </row>
    <row r="56" spans="1:4" x14ac:dyDescent="0.25">
      <c r="A56"/>
      <c r="B56"/>
      <c r="C56"/>
      <c r="D56"/>
    </row>
    <row r="57" spans="1:4" x14ac:dyDescent="0.25">
      <c r="A57"/>
      <c r="B57"/>
      <c r="C57"/>
      <c r="D57"/>
    </row>
    <row r="58" spans="1:4" x14ac:dyDescent="0.25">
      <c r="A58"/>
      <c r="B58"/>
      <c r="C58"/>
      <c r="D58"/>
    </row>
    <row r="59" spans="1:4" x14ac:dyDescent="0.25">
      <c r="A59"/>
      <c r="B59"/>
      <c r="C59"/>
      <c r="D59"/>
    </row>
    <row r="60" spans="1:4" x14ac:dyDescent="0.25">
      <c r="A60"/>
      <c r="B60"/>
      <c r="C60"/>
      <c r="D60"/>
    </row>
    <row r="61" spans="1:4" x14ac:dyDescent="0.25">
      <c r="A61"/>
      <c r="B61"/>
      <c r="C61"/>
      <c r="D61"/>
    </row>
    <row r="62" spans="1:4" x14ac:dyDescent="0.25">
      <c r="A62"/>
      <c r="B62"/>
      <c r="C62"/>
      <c r="D62"/>
    </row>
    <row r="63" spans="1:4" x14ac:dyDescent="0.25">
      <c r="A63"/>
      <c r="B63"/>
      <c r="C63"/>
      <c r="D63"/>
    </row>
    <row r="64" spans="1:4" x14ac:dyDescent="0.25">
      <c r="A64"/>
      <c r="B64"/>
      <c r="C64"/>
      <c r="D64"/>
    </row>
    <row r="65" spans="1:4" x14ac:dyDescent="0.25">
      <c r="A65"/>
      <c r="B65"/>
      <c r="C65"/>
      <c r="D65"/>
    </row>
    <row r="66" spans="1:4" x14ac:dyDescent="0.25">
      <c r="A66"/>
      <c r="B66"/>
      <c r="C66"/>
      <c r="D66"/>
    </row>
    <row r="67" spans="1:4" x14ac:dyDescent="0.25">
      <c r="A67"/>
      <c r="B67"/>
      <c r="C67"/>
      <c r="D67"/>
    </row>
    <row r="68" spans="1:4" x14ac:dyDescent="0.25">
      <c r="A68"/>
      <c r="B68"/>
      <c r="C68"/>
      <c r="D68"/>
    </row>
    <row r="69" spans="1:4" x14ac:dyDescent="0.25">
      <c r="A69"/>
      <c r="B69"/>
      <c r="C69"/>
      <c r="D69"/>
    </row>
    <row r="70" spans="1:4" x14ac:dyDescent="0.25">
      <c r="A70"/>
      <c r="B70"/>
      <c r="C70"/>
      <c r="D70"/>
    </row>
    <row r="71" spans="1:4" x14ac:dyDescent="0.25">
      <c r="A71"/>
      <c r="B71"/>
      <c r="C71"/>
      <c r="D71"/>
    </row>
    <row r="72" spans="1:4" x14ac:dyDescent="0.25">
      <c r="A72"/>
      <c r="B72"/>
      <c r="C72"/>
      <c r="D72"/>
    </row>
    <row r="73" spans="1:4" x14ac:dyDescent="0.25">
      <c r="A73"/>
      <c r="B73"/>
      <c r="C73"/>
      <c r="D73"/>
    </row>
    <row r="74" spans="1:4" x14ac:dyDescent="0.25">
      <c r="A74"/>
      <c r="B74"/>
      <c r="C74"/>
      <c r="D74"/>
    </row>
    <row r="75" spans="1:4" x14ac:dyDescent="0.25">
      <c r="A75"/>
      <c r="B75"/>
      <c r="C75"/>
      <c r="D75"/>
    </row>
    <row r="76" spans="1:4" x14ac:dyDescent="0.25">
      <c r="A76"/>
      <c r="B76"/>
      <c r="C76"/>
      <c r="D76"/>
    </row>
    <row r="77" spans="1:4" x14ac:dyDescent="0.25">
      <c r="A77"/>
      <c r="B77"/>
      <c r="C77"/>
      <c r="D77"/>
    </row>
    <row r="78" spans="1:4" x14ac:dyDescent="0.25">
      <c r="A78"/>
      <c r="B78"/>
      <c r="C78"/>
      <c r="D78"/>
    </row>
    <row r="79" spans="1:4" x14ac:dyDescent="0.25">
      <c r="A79"/>
      <c r="B79"/>
      <c r="C79"/>
      <c r="D79"/>
    </row>
    <row r="80" spans="1:4" x14ac:dyDescent="0.25">
      <c r="A80"/>
      <c r="B80"/>
      <c r="C80"/>
      <c r="D80"/>
    </row>
    <row r="81" spans="1:4" x14ac:dyDescent="0.25">
      <c r="A81"/>
      <c r="B81"/>
      <c r="C81"/>
      <c r="D81"/>
    </row>
    <row r="82" spans="1:4" x14ac:dyDescent="0.25">
      <c r="A82"/>
      <c r="B82"/>
      <c r="C82"/>
      <c r="D82"/>
    </row>
    <row r="83" spans="1:4" x14ac:dyDescent="0.25">
      <c r="A83"/>
      <c r="B83"/>
      <c r="C83"/>
      <c r="D83"/>
    </row>
    <row r="84" spans="1:4" x14ac:dyDescent="0.25">
      <c r="A84"/>
      <c r="B84"/>
      <c r="C84"/>
      <c r="D84"/>
    </row>
    <row r="85" spans="1:4" x14ac:dyDescent="0.25">
      <c r="A85"/>
      <c r="B85"/>
      <c r="C85"/>
      <c r="D85"/>
    </row>
    <row r="86" spans="1:4" x14ac:dyDescent="0.25">
      <c r="A86"/>
      <c r="B86"/>
      <c r="C86"/>
      <c r="D86"/>
    </row>
    <row r="87" spans="1:4" x14ac:dyDescent="0.25">
      <c r="A87"/>
      <c r="B87"/>
      <c r="C87"/>
      <c r="D87"/>
    </row>
    <row r="88" spans="1:4" x14ac:dyDescent="0.25">
      <c r="A88"/>
      <c r="B88"/>
      <c r="C88"/>
      <c r="D88"/>
    </row>
    <row r="89" spans="1:4" x14ac:dyDescent="0.25">
      <c r="A89"/>
      <c r="B89"/>
      <c r="C89"/>
      <c r="D89"/>
    </row>
    <row r="90" spans="1:4" x14ac:dyDescent="0.25">
      <c r="A90"/>
      <c r="B90"/>
      <c r="C90"/>
      <c r="D90"/>
    </row>
    <row r="91" spans="1:4" x14ac:dyDescent="0.25">
      <c r="A91"/>
      <c r="B91"/>
      <c r="C91"/>
      <c r="D91"/>
    </row>
    <row r="92" spans="1:4" x14ac:dyDescent="0.25">
      <c r="A92"/>
      <c r="B92"/>
      <c r="C92"/>
      <c r="D92"/>
    </row>
    <row r="93" spans="1:4" x14ac:dyDescent="0.25">
      <c r="A93"/>
      <c r="B93"/>
      <c r="C93"/>
      <c r="D93"/>
    </row>
    <row r="94" spans="1:4" x14ac:dyDescent="0.25">
      <c r="A94"/>
      <c r="B94"/>
      <c r="C94"/>
      <c r="D94"/>
    </row>
    <row r="95" spans="1:4" x14ac:dyDescent="0.25">
      <c r="A95"/>
      <c r="B95"/>
      <c r="C95"/>
      <c r="D95"/>
    </row>
    <row r="96" spans="1:4" x14ac:dyDescent="0.25">
      <c r="A96"/>
      <c r="B96"/>
      <c r="C96"/>
      <c r="D96"/>
    </row>
    <row r="97" spans="1:4" x14ac:dyDescent="0.25">
      <c r="A97"/>
      <c r="B97"/>
      <c r="C97"/>
      <c r="D97"/>
    </row>
    <row r="98" spans="1:4" x14ac:dyDescent="0.25">
      <c r="A98"/>
      <c r="B98"/>
      <c r="C98"/>
      <c r="D98"/>
    </row>
    <row r="99" spans="1:4" x14ac:dyDescent="0.25">
      <c r="A99"/>
      <c r="B99"/>
      <c r="C99"/>
      <c r="D99"/>
    </row>
    <row r="100" spans="1:4" x14ac:dyDescent="0.25">
      <c r="A100"/>
      <c r="B100"/>
      <c r="C100"/>
      <c r="D100"/>
    </row>
    <row r="101" spans="1:4" x14ac:dyDescent="0.25">
      <c r="A101"/>
      <c r="B101"/>
      <c r="C101"/>
      <c r="D101"/>
    </row>
    <row r="102" spans="1:4" x14ac:dyDescent="0.25">
      <c r="A102"/>
      <c r="B102"/>
      <c r="C102"/>
      <c r="D102"/>
    </row>
    <row r="103" spans="1:4" x14ac:dyDescent="0.25">
      <c r="A103"/>
      <c r="B103"/>
      <c r="C103"/>
      <c r="D103"/>
    </row>
    <row r="104" spans="1:4" x14ac:dyDescent="0.25">
      <c r="A104"/>
      <c r="B104"/>
      <c r="C104"/>
      <c r="D104"/>
    </row>
    <row r="105" spans="1:4" x14ac:dyDescent="0.25">
      <c r="A105"/>
      <c r="B105"/>
      <c r="C105"/>
      <c r="D105"/>
    </row>
    <row r="106" spans="1:4" x14ac:dyDescent="0.25">
      <c r="A106"/>
      <c r="B106"/>
      <c r="C106"/>
      <c r="D106"/>
    </row>
    <row r="107" spans="1:4" x14ac:dyDescent="0.25">
      <c r="C107"/>
      <c r="D107"/>
    </row>
    <row r="108" spans="1:4" x14ac:dyDescent="0.25">
      <c r="C108"/>
      <c r="D108"/>
    </row>
    <row r="109" spans="1:4" x14ac:dyDescent="0.25">
      <c r="C109"/>
      <c r="D109"/>
    </row>
    <row r="110" spans="1:4" x14ac:dyDescent="0.25">
      <c r="C110"/>
      <c r="D110"/>
    </row>
    <row r="111" spans="1:4" x14ac:dyDescent="0.25">
      <c r="C111"/>
      <c r="D111"/>
    </row>
    <row r="112" spans="1:4" x14ac:dyDescent="0.25">
      <c r="C112"/>
      <c r="D112"/>
    </row>
    <row r="113" spans="3:4" x14ac:dyDescent="0.25">
      <c r="C113"/>
      <c r="D113"/>
    </row>
    <row r="114" spans="3:4" x14ac:dyDescent="0.25">
      <c r="C114"/>
      <c r="D114"/>
    </row>
    <row r="115" spans="3:4" x14ac:dyDescent="0.25">
      <c r="C115"/>
      <c r="D115"/>
    </row>
    <row r="116" spans="3:4" x14ac:dyDescent="0.25">
      <c r="C116"/>
      <c r="D116"/>
    </row>
    <row r="117" spans="3:4" x14ac:dyDescent="0.25">
      <c r="C117"/>
      <c r="D117"/>
    </row>
    <row r="118" spans="3:4" x14ac:dyDescent="0.25">
      <c r="C118"/>
      <c r="D118"/>
    </row>
    <row r="119" spans="3:4" x14ac:dyDescent="0.25">
      <c r="C119"/>
      <c r="D119"/>
    </row>
    <row r="120" spans="3:4" x14ac:dyDescent="0.25">
      <c r="C120"/>
      <c r="D120"/>
    </row>
    <row r="121" spans="3:4" x14ac:dyDescent="0.25">
      <c r="C121"/>
      <c r="D121"/>
    </row>
    <row r="122" spans="3:4" x14ac:dyDescent="0.25">
      <c r="C122"/>
      <c r="D122"/>
    </row>
    <row r="123" spans="3:4" x14ac:dyDescent="0.25">
      <c r="C123"/>
      <c r="D123"/>
    </row>
    <row r="124" spans="3:4" x14ac:dyDescent="0.25">
      <c r="C124"/>
      <c r="D124"/>
    </row>
    <row r="125" spans="3:4" x14ac:dyDescent="0.25">
      <c r="C125"/>
      <c r="D125"/>
    </row>
    <row r="126" spans="3:4" x14ac:dyDescent="0.25">
      <c r="C126"/>
      <c r="D126"/>
    </row>
    <row r="127" spans="3:4" x14ac:dyDescent="0.25">
      <c r="C127"/>
      <c r="D127"/>
    </row>
    <row r="128" spans="3:4" x14ac:dyDescent="0.25">
      <c r="C128"/>
      <c r="D128"/>
    </row>
    <row r="129" spans="3:4" x14ac:dyDescent="0.25">
      <c r="C129"/>
      <c r="D129"/>
    </row>
    <row r="130" spans="3:4" x14ac:dyDescent="0.25">
      <c r="C130"/>
      <c r="D130"/>
    </row>
    <row r="131" spans="3:4" x14ac:dyDescent="0.25">
      <c r="C131"/>
      <c r="D131"/>
    </row>
    <row r="132" spans="3:4" x14ac:dyDescent="0.25">
      <c r="C132"/>
      <c r="D132"/>
    </row>
    <row r="133" spans="3:4" x14ac:dyDescent="0.25">
      <c r="C133"/>
      <c r="D133"/>
    </row>
    <row r="134" spans="3:4" x14ac:dyDescent="0.25">
      <c r="C134"/>
      <c r="D134"/>
    </row>
    <row r="135" spans="3:4" x14ac:dyDescent="0.25">
      <c r="C135"/>
      <c r="D135"/>
    </row>
    <row r="136" spans="3:4" x14ac:dyDescent="0.25">
      <c r="C136"/>
      <c r="D136"/>
    </row>
    <row r="137" spans="3:4" x14ac:dyDescent="0.25">
      <c r="C137"/>
      <c r="D137"/>
    </row>
    <row r="138" spans="3:4" x14ac:dyDescent="0.25">
      <c r="C138"/>
      <c r="D138"/>
    </row>
    <row r="139" spans="3:4" x14ac:dyDescent="0.25">
      <c r="C139"/>
      <c r="D139"/>
    </row>
    <row r="140" spans="3:4" x14ac:dyDescent="0.25">
      <c r="C140"/>
      <c r="D140"/>
    </row>
    <row r="141" spans="3:4" x14ac:dyDescent="0.25">
      <c r="C141"/>
      <c r="D141"/>
    </row>
    <row r="142" spans="3:4" x14ac:dyDescent="0.25">
      <c r="C142"/>
      <c r="D142"/>
    </row>
    <row r="143" spans="3:4" x14ac:dyDescent="0.25">
      <c r="C143"/>
      <c r="D143"/>
    </row>
    <row r="144" spans="3:4" x14ac:dyDescent="0.25">
      <c r="C144"/>
      <c r="D144"/>
    </row>
    <row r="145" spans="3:4" x14ac:dyDescent="0.25">
      <c r="C145"/>
      <c r="D145"/>
    </row>
    <row r="146" spans="3:4" x14ac:dyDescent="0.25">
      <c r="C146"/>
      <c r="D146"/>
    </row>
    <row r="147" spans="3:4" x14ac:dyDescent="0.25">
      <c r="C147"/>
      <c r="D147"/>
    </row>
    <row r="148" spans="3:4" x14ac:dyDescent="0.25">
      <c r="C148"/>
      <c r="D148"/>
    </row>
    <row r="149" spans="3:4" x14ac:dyDescent="0.25">
      <c r="C149"/>
      <c r="D149"/>
    </row>
    <row r="150" spans="3:4" x14ac:dyDescent="0.25">
      <c r="C150"/>
      <c r="D150"/>
    </row>
    <row r="151" spans="3:4" x14ac:dyDescent="0.25">
      <c r="C151"/>
      <c r="D151"/>
    </row>
    <row r="152" spans="3:4" x14ac:dyDescent="0.25">
      <c r="C152"/>
      <c r="D152"/>
    </row>
    <row r="153" spans="3:4" x14ac:dyDescent="0.25">
      <c r="C153"/>
      <c r="D153"/>
    </row>
    <row r="154" spans="3:4" x14ac:dyDescent="0.25">
      <c r="C154"/>
      <c r="D154"/>
    </row>
    <row r="155" spans="3:4" x14ac:dyDescent="0.25">
      <c r="C155"/>
      <c r="D155"/>
    </row>
    <row r="156" spans="3:4" x14ac:dyDescent="0.25">
      <c r="C156"/>
      <c r="D156"/>
    </row>
    <row r="157" spans="3:4" x14ac:dyDescent="0.25">
      <c r="C157"/>
      <c r="D157"/>
    </row>
    <row r="158" spans="3:4" x14ac:dyDescent="0.25">
      <c r="C158"/>
      <c r="D158"/>
    </row>
    <row r="159" spans="3:4" x14ac:dyDescent="0.25">
      <c r="C159"/>
      <c r="D159"/>
    </row>
    <row r="160" spans="3:4" x14ac:dyDescent="0.25">
      <c r="C160"/>
      <c r="D160"/>
    </row>
    <row r="161" spans="3:4" x14ac:dyDescent="0.25">
      <c r="C161"/>
      <c r="D161"/>
    </row>
    <row r="162" spans="3:4" x14ac:dyDescent="0.25">
      <c r="C162"/>
      <c r="D162"/>
    </row>
    <row r="163" spans="3:4" x14ac:dyDescent="0.25">
      <c r="C163"/>
      <c r="D163"/>
    </row>
    <row r="164" spans="3:4" x14ac:dyDescent="0.25">
      <c r="C164"/>
      <c r="D164"/>
    </row>
    <row r="165" spans="3:4" x14ac:dyDescent="0.25">
      <c r="C165"/>
      <c r="D165"/>
    </row>
    <row r="166" spans="3:4" x14ac:dyDescent="0.25">
      <c r="C166"/>
      <c r="D166"/>
    </row>
    <row r="167" spans="3:4" x14ac:dyDescent="0.25">
      <c r="C167"/>
      <c r="D167"/>
    </row>
    <row r="168" spans="3:4" x14ac:dyDescent="0.25">
      <c r="C168"/>
      <c r="D168"/>
    </row>
    <row r="169" spans="3:4" x14ac:dyDescent="0.25">
      <c r="C169"/>
      <c r="D169"/>
    </row>
    <row r="170" spans="3:4" x14ac:dyDescent="0.25">
      <c r="C170"/>
      <c r="D170"/>
    </row>
    <row r="171" spans="3:4" x14ac:dyDescent="0.25">
      <c r="C171"/>
      <c r="D171"/>
    </row>
    <row r="172" spans="3:4" x14ac:dyDescent="0.25">
      <c r="C172"/>
      <c r="D172"/>
    </row>
    <row r="173" spans="3:4" x14ac:dyDescent="0.25">
      <c r="C173"/>
      <c r="D173"/>
    </row>
    <row r="174" spans="3:4" x14ac:dyDescent="0.25">
      <c r="C174"/>
      <c r="D174"/>
    </row>
    <row r="175" spans="3:4" x14ac:dyDescent="0.25">
      <c r="C175"/>
      <c r="D175"/>
    </row>
    <row r="176" spans="3:4" x14ac:dyDescent="0.25">
      <c r="C176"/>
      <c r="D176"/>
    </row>
    <row r="177" spans="3:4" x14ac:dyDescent="0.25">
      <c r="C177"/>
      <c r="D177"/>
    </row>
    <row r="178" spans="3:4" x14ac:dyDescent="0.25">
      <c r="C178"/>
      <c r="D178"/>
    </row>
    <row r="179" spans="3:4" x14ac:dyDescent="0.25">
      <c r="C179"/>
      <c r="D179"/>
    </row>
    <row r="180" spans="3:4" x14ac:dyDescent="0.25">
      <c r="C180"/>
      <c r="D180"/>
    </row>
    <row r="181" spans="3:4" x14ac:dyDescent="0.25">
      <c r="C181"/>
      <c r="D181"/>
    </row>
    <row r="182" spans="3:4" x14ac:dyDescent="0.25">
      <c r="C182"/>
      <c r="D182"/>
    </row>
    <row r="183" spans="3:4" x14ac:dyDescent="0.25">
      <c r="C183"/>
      <c r="D183"/>
    </row>
    <row r="184" spans="3:4" x14ac:dyDescent="0.25">
      <c r="C184"/>
      <c r="D184"/>
    </row>
    <row r="185" spans="3:4" x14ac:dyDescent="0.25">
      <c r="C185"/>
      <c r="D185"/>
    </row>
    <row r="186" spans="3:4" x14ac:dyDescent="0.25">
      <c r="C186"/>
      <c r="D186"/>
    </row>
    <row r="187" spans="3:4" x14ac:dyDescent="0.25">
      <c r="C187"/>
      <c r="D187"/>
    </row>
    <row r="188" spans="3:4" x14ac:dyDescent="0.25">
      <c r="C188"/>
      <c r="D188"/>
    </row>
    <row r="189" spans="3:4" x14ac:dyDescent="0.25">
      <c r="C189"/>
      <c r="D189"/>
    </row>
    <row r="190" spans="3:4" x14ac:dyDescent="0.25">
      <c r="C190"/>
      <c r="D190"/>
    </row>
    <row r="191" spans="3:4" x14ac:dyDescent="0.25">
      <c r="C191"/>
      <c r="D191"/>
    </row>
    <row r="192" spans="3:4" x14ac:dyDescent="0.25">
      <c r="C192"/>
      <c r="D192"/>
    </row>
    <row r="193" spans="3:4" x14ac:dyDescent="0.25">
      <c r="C193"/>
      <c r="D193"/>
    </row>
    <row r="194" spans="3:4" x14ac:dyDescent="0.25">
      <c r="C194"/>
      <c r="D194"/>
    </row>
    <row r="195" spans="3:4" x14ac:dyDescent="0.25">
      <c r="C195"/>
      <c r="D195"/>
    </row>
    <row r="196" spans="3:4" x14ac:dyDescent="0.25">
      <c r="C196"/>
      <c r="D196"/>
    </row>
    <row r="197" spans="3:4" x14ac:dyDescent="0.25">
      <c r="C197"/>
      <c r="D197"/>
    </row>
    <row r="198" spans="3:4" x14ac:dyDescent="0.25">
      <c r="C198"/>
      <c r="D198"/>
    </row>
    <row r="199" spans="3:4" x14ac:dyDescent="0.25">
      <c r="C199"/>
      <c r="D199"/>
    </row>
    <row r="200" spans="3:4" x14ac:dyDescent="0.25">
      <c r="C200"/>
      <c r="D200"/>
    </row>
    <row r="201" spans="3:4" x14ac:dyDescent="0.25">
      <c r="C201"/>
      <c r="D201"/>
    </row>
    <row r="202" spans="3:4" x14ac:dyDescent="0.25">
      <c r="C202"/>
      <c r="D202"/>
    </row>
    <row r="203" spans="3:4" x14ac:dyDescent="0.25">
      <c r="C203"/>
      <c r="D203"/>
    </row>
    <row r="204" spans="3:4" x14ac:dyDescent="0.25">
      <c r="C204"/>
      <c r="D204"/>
    </row>
    <row r="205" spans="3:4" x14ac:dyDescent="0.25">
      <c r="C205"/>
      <c r="D205"/>
    </row>
    <row r="206" spans="3:4" x14ac:dyDescent="0.25">
      <c r="C206"/>
      <c r="D206"/>
    </row>
    <row r="207" spans="3:4" x14ac:dyDescent="0.25">
      <c r="C207"/>
      <c r="D207"/>
    </row>
    <row r="208" spans="3:4" x14ac:dyDescent="0.25">
      <c r="C208"/>
      <c r="D208"/>
    </row>
    <row r="209" spans="3:4" x14ac:dyDescent="0.25">
      <c r="C209"/>
      <c r="D209"/>
    </row>
    <row r="210" spans="3:4" x14ac:dyDescent="0.25">
      <c r="C210"/>
      <c r="D210"/>
    </row>
    <row r="211" spans="3:4" x14ac:dyDescent="0.25">
      <c r="C211"/>
      <c r="D211"/>
    </row>
    <row r="212" spans="3:4" x14ac:dyDescent="0.25">
      <c r="C212"/>
      <c r="D212"/>
    </row>
    <row r="213" spans="3:4" x14ac:dyDescent="0.25">
      <c r="C213"/>
      <c r="D213"/>
    </row>
    <row r="214" spans="3:4" x14ac:dyDescent="0.25">
      <c r="C214"/>
      <c r="D214"/>
    </row>
    <row r="215" spans="3:4" x14ac:dyDescent="0.25">
      <c r="C215"/>
      <c r="D215"/>
    </row>
    <row r="216" spans="3:4" x14ac:dyDescent="0.25">
      <c r="C216"/>
      <c r="D216"/>
    </row>
    <row r="217" spans="3:4" x14ac:dyDescent="0.25">
      <c r="C217"/>
      <c r="D217"/>
    </row>
    <row r="218" spans="3:4" x14ac:dyDescent="0.25">
      <c r="C218"/>
      <c r="D218"/>
    </row>
    <row r="219" spans="3:4" x14ac:dyDescent="0.25">
      <c r="C219"/>
      <c r="D219"/>
    </row>
    <row r="220" spans="3:4" x14ac:dyDescent="0.25">
      <c r="C220"/>
      <c r="D220"/>
    </row>
    <row r="221" spans="3:4" x14ac:dyDescent="0.25">
      <c r="C221"/>
      <c r="D221"/>
    </row>
    <row r="222" spans="3:4" x14ac:dyDescent="0.25">
      <c r="C222"/>
      <c r="D222"/>
    </row>
    <row r="223" spans="3:4" x14ac:dyDescent="0.25">
      <c r="C223"/>
      <c r="D223"/>
    </row>
    <row r="224" spans="3:4" x14ac:dyDescent="0.25">
      <c r="C224"/>
      <c r="D224"/>
    </row>
    <row r="225" spans="3:4" x14ac:dyDescent="0.25">
      <c r="C225"/>
      <c r="D225"/>
    </row>
    <row r="226" spans="3:4" x14ac:dyDescent="0.25">
      <c r="C226"/>
      <c r="D226"/>
    </row>
    <row r="227" spans="3:4" x14ac:dyDescent="0.25">
      <c r="C227"/>
      <c r="D227"/>
    </row>
    <row r="228" spans="3:4" x14ac:dyDescent="0.25">
      <c r="C228"/>
      <c r="D228"/>
    </row>
    <row r="229" spans="3:4" x14ac:dyDescent="0.25">
      <c r="C229"/>
      <c r="D229"/>
    </row>
    <row r="230" spans="3:4" x14ac:dyDescent="0.25">
      <c r="C230"/>
      <c r="D230"/>
    </row>
    <row r="231" spans="3:4" x14ac:dyDescent="0.25">
      <c r="C231"/>
      <c r="D231"/>
    </row>
    <row r="232" spans="3:4" x14ac:dyDescent="0.25">
      <c r="C232"/>
      <c r="D232"/>
    </row>
    <row r="233" spans="3:4" x14ac:dyDescent="0.25">
      <c r="C233"/>
      <c r="D233"/>
    </row>
    <row r="234" spans="3:4" x14ac:dyDescent="0.25">
      <c r="C234"/>
      <c r="D234"/>
    </row>
    <row r="235" spans="3:4" x14ac:dyDescent="0.25">
      <c r="C235"/>
      <c r="D235"/>
    </row>
    <row r="236" spans="3:4" x14ac:dyDescent="0.25">
      <c r="C236"/>
      <c r="D236"/>
    </row>
    <row r="237" spans="3:4" x14ac:dyDescent="0.25">
      <c r="C237"/>
      <c r="D237"/>
    </row>
    <row r="238" spans="3:4" x14ac:dyDescent="0.25">
      <c r="C238"/>
      <c r="D238"/>
    </row>
    <row r="239" spans="3:4" x14ac:dyDescent="0.25">
      <c r="C239"/>
      <c r="D239"/>
    </row>
    <row r="240" spans="3:4" x14ac:dyDescent="0.25">
      <c r="C240"/>
      <c r="D240"/>
    </row>
    <row r="241" spans="3:4" x14ac:dyDescent="0.25">
      <c r="C241"/>
      <c r="D241"/>
    </row>
    <row r="242" spans="3:4" x14ac:dyDescent="0.25">
      <c r="C242"/>
      <c r="D242"/>
    </row>
    <row r="243" spans="3:4" x14ac:dyDescent="0.25">
      <c r="C243"/>
      <c r="D243"/>
    </row>
    <row r="244" spans="3:4" x14ac:dyDescent="0.25">
      <c r="C244"/>
      <c r="D244"/>
    </row>
    <row r="245" spans="3:4" x14ac:dyDescent="0.25">
      <c r="C245"/>
      <c r="D245"/>
    </row>
    <row r="246" spans="3:4" x14ac:dyDescent="0.25">
      <c r="C246"/>
      <c r="D246"/>
    </row>
    <row r="247" spans="3:4" x14ac:dyDescent="0.25">
      <c r="C247"/>
      <c r="D247"/>
    </row>
    <row r="248" spans="3:4" x14ac:dyDescent="0.25">
      <c r="C248"/>
      <c r="D248"/>
    </row>
    <row r="249" spans="3:4" x14ac:dyDescent="0.25">
      <c r="C249"/>
      <c r="D249"/>
    </row>
    <row r="250" spans="3:4" x14ac:dyDescent="0.25">
      <c r="C250"/>
      <c r="D250"/>
    </row>
    <row r="251" spans="3:4" x14ac:dyDescent="0.25">
      <c r="C251"/>
      <c r="D251"/>
    </row>
    <row r="252" spans="3:4" x14ac:dyDescent="0.25">
      <c r="C252"/>
      <c r="D252"/>
    </row>
    <row r="253" spans="3:4" x14ac:dyDescent="0.25">
      <c r="C253"/>
      <c r="D253"/>
    </row>
    <row r="254" spans="3:4" x14ac:dyDescent="0.25">
      <c r="C254"/>
      <c r="D254"/>
    </row>
    <row r="255" spans="3:4" x14ac:dyDescent="0.25">
      <c r="C255"/>
      <c r="D255"/>
    </row>
    <row r="256" spans="3:4" x14ac:dyDescent="0.25">
      <c r="C256"/>
      <c r="D256"/>
    </row>
    <row r="257" spans="3:4" x14ac:dyDescent="0.25">
      <c r="C257"/>
      <c r="D257"/>
    </row>
    <row r="258" spans="3:4" x14ac:dyDescent="0.25">
      <c r="C258"/>
      <c r="D258"/>
    </row>
    <row r="259" spans="3:4" x14ac:dyDescent="0.25">
      <c r="C259"/>
      <c r="D259"/>
    </row>
    <row r="260" spans="3:4" x14ac:dyDescent="0.25">
      <c r="C260"/>
      <c r="D260"/>
    </row>
    <row r="261" spans="3:4" x14ac:dyDescent="0.25">
      <c r="C261"/>
      <c r="D261"/>
    </row>
    <row r="262" spans="3:4" x14ac:dyDescent="0.25">
      <c r="C262"/>
      <c r="D262"/>
    </row>
    <row r="263" spans="3:4" x14ac:dyDescent="0.25">
      <c r="C263"/>
      <c r="D263"/>
    </row>
    <row r="264" spans="3:4" x14ac:dyDescent="0.25">
      <c r="C264"/>
      <c r="D264"/>
    </row>
    <row r="265" spans="3:4" x14ac:dyDescent="0.25">
      <c r="C265"/>
      <c r="D265"/>
    </row>
    <row r="266" spans="3:4" x14ac:dyDescent="0.25">
      <c r="C266"/>
      <c r="D266"/>
    </row>
    <row r="267" spans="3:4" x14ac:dyDescent="0.25">
      <c r="C267"/>
      <c r="D267"/>
    </row>
    <row r="268" spans="3:4" x14ac:dyDescent="0.25">
      <c r="C268"/>
      <c r="D268"/>
    </row>
    <row r="269" spans="3:4" x14ac:dyDescent="0.25">
      <c r="C269"/>
      <c r="D269"/>
    </row>
    <row r="270" spans="3:4" x14ac:dyDescent="0.25">
      <c r="C270"/>
      <c r="D270"/>
    </row>
    <row r="271" spans="3:4" x14ac:dyDescent="0.25">
      <c r="C271"/>
      <c r="D271"/>
    </row>
    <row r="272" spans="3:4" x14ac:dyDescent="0.25">
      <c r="C272"/>
      <c r="D272"/>
    </row>
    <row r="273" spans="3:4" x14ac:dyDescent="0.25">
      <c r="C273"/>
      <c r="D273"/>
    </row>
    <row r="274" spans="3:4" x14ac:dyDescent="0.25">
      <c r="C274"/>
      <c r="D274"/>
    </row>
    <row r="275" spans="3:4" x14ac:dyDescent="0.25">
      <c r="C275"/>
      <c r="D275"/>
    </row>
    <row r="276" spans="3:4" x14ac:dyDescent="0.25">
      <c r="C276"/>
      <c r="D276"/>
    </row>
    <row r="277" spans="3:4" x14ac:dyDescent="0.25">
      <c r="C277"/>
      <c r="D277"/>
    </row>
    <row r="278" spans="3:4" x14ac:dyDescent="0.25">
      <c r="C278"/>
      <c r="D278"/>
    </row>
    <row r="279" spans="3:4" x14ac:dyDescent="0.25">
      <c r="C279"/>
      <c r="D279"/>
    </row>
    <row r="280" spans="3:4" x14ac:dyDescent="0.25">
      <c r="C280"/>
      <c r="D280"/>
    </row>
    <row r="281" spans="3:4" x14ac:dyDescent="0.25">
      <c r="C281"/>
      <c r="D281"/>
    </row>
    <row r="282" spans="3:4" x14ac:dyDescent="0.25">
      <c r="C282"/>
      <c r="D282"/>
    </row>
    <row r="283" spans="3:4" x14ac:dyDescent="0.25">
      <c r="C283"/>
      <c r="D283"/>
    </row>
    <row r="284" spans="3:4" x14ac:dyDescent="0.25">
      <c r="C284"/>
      <c r="D284"/>
    </row>
    <row r="285" spans="3:4" x14ac:dyDescent="0.25">
      <c r="C285"/>
      <c r="D285"/>
    </row>
    <row r="286" spans="3:4" x14ac:dyDescent="0.25">
      <c r="C286"/>
      <c r="D286"/>
    </row>
    <row r="287" spans="3:4" x14ac:dyDescent="0.25">
      <c r="C287"/>
      <c r="D287"/>
    </row>
    <row r="288" spans="3:4" x14ac:dyDescent="0.25">
      <c r="C288"/>
      <c r="D288"/>
    </row>
    <row r="289" spans="3:4" x14ac:dyDescent="0.25">
      <c r="C289"/>
      <c r="D289"/>
    </row>
    <row r="290" spans="3:4" x14ac:dyDescent="0.25">
      <c r="C290"/>
      <c r="D290"/>
    </row>
    <row r="291" spans="3:4" x14ac:dyDescent="0.25">
      <c r="C291"/>
      <c r="D291"/>
    </row>
    <row r="292" spans="3:4" x14ac:dyDescent="0.25">
      <c r="C292"/>
      <c r="D292"/>
    </row>
    <row r="293" spans="3:4" x14ac:dyDescent="0.25">
      <c r="C293"/>
      <c r="D293"/>
    </row>
    <row r="294" spans="3:4" x14ac:dyDescent="0.25">
      <c r="C294"/>
      <c r="D294"/>
    </row>
    <row r="295" spans="3:4" x14ac:dyDescent="0.25">
      <c r="C295"/>
      <c r="D295"/>
    </row>
    <row r="296" spans="3:4" x14ac:dyDescent="0.25">
      <c r="C296"/>
      <c r="D296"/>
    </row>
    <row r="297" spans="3:4" x14ac:dyDescent="0.25">
      <c r="C297"/>
      <c r="D297"/>
    </row>
    <row r="298" spans="3:4" x14ac:dyDescent="0.25">
      <c r="C298"/>
      <c r="D298"/>
    </row>
    <row r="299" spans="3:4" x14ac:dyDescent="0.25">
      <c r="C299"/>
      <c r="D299"/>
    </row>
    <row r="300" spans="3:4" x14ac:dyDescent="0.25">
      <c r="C300"/>
      <c r="D300"/>
    </row>
    <row r="301" spans="3:4" x14ac:dyDescent="0.25">
      <c r="C301"/>
      <c r="D301"/>
    </row>
    <row r="302" spans="3:4" x14ac:dyDescent="0.25">
      <c r="C302"/>
      <c r="D302"/>
    </row>
    <row r="303" spans="3:4" x14ac:dyDescent="0.25">
      <c r="C303"/>
      <c r="D303"/>
    </row>
    <row r="304" spans="3:4" x14ac:dyDescent="0.25">
      <c r="C304"/>
      <c r="D304"/>
    </row>
    <row r="305" spans="3:4" x14ac:dyDescent="0.25">
      <c r="C305"/>
      <c r="D305"/>
    </row>
    <row r="306" spans="3:4" x14ac:dyDescent="0.25">
      <c r="C306"/>
      <c r="D306"/>
    </row>
    <row r="307" spans="3:4" x14ac:dyDescent="0.25">
      <c r="C307"/>
      <c r="D307"/>
    </row>
    <row r="308" spans="3:4" x14ac:dyDescent="0.25">
      <c r="C308"/>
      <c r="D308"/>
    </row>
    <row r="309" spans="3:4" x14ac:dyDescent="0.25">
      <c r="C309"/>
      <c r="D309"/>
    </row>
    <row r="310" spans="3:4" x14ac:dyDescent="0.25">
      <c r="C310"/>
      <c r="D310"/>
    </row>
    <row r="311" spans="3:4" x14ac:dyDescent="0.25">
      <c r="C311"/>
      <c r="D311"/>
    </row>
    <row r="312" spans="3:4" x14ac:dyDescent="0.25">
      <c r="C312"/>
      <c r="D312"/>
    </row>
    <row r="313" spans="3:4" x14ac:dyDescent="0.25">
      <c r="C313"/>
      <c r="D313"/>
    </row>
    <row r="314" spans="3:4" x14ac:dyDescent="0.25">
      <c r="C314"/>
      <c r="D314"/>
    </row>
    <row r="315" spans="3:4" x14ac:dyDescent="0.25">
      <c r="C315"/>
      <c r="D315"/>
    </row>
    <row r="316" spans="3:4" x14ac:dyDescent="0.25">
      <c r="C316"/>
      <c r="D316"/>
    </row>
    <row r="317" spans="3:4" x14ac:dyDescent="0.25">
      <c r="C317"/>
      <c r="D317"/>
    </row>
    <row r="318" spans="3:4" x14ac:dyDescent="0.25">
      <c r="C318"/>
      <c r="D318"/>
    </row>
    <row r="319" spans="3:4" x14ac:dyDescent="0.25">
      <c r="C319"/>
      <c r="D319"/>
    </row>
    <row r="320" spans="3:4" x14ac:dyDescent="0.25">
      <c r="C320"/>
      <c r="D320"/>
    </row>
    <row r="321" spans="3:4" x14ac:dyDescent="0.25">
      <c r="C321"/>
      <c r="D321"/>
    </row>
    <row r="322" spans="3:4" x14ac:dyDescent="0.25">
      <c r="C322"/>
      <c r="D322"/>
    </row>
    <row r="323" spans="3:4" x14ac:dyDescent="0.25">
      <c r="C323"/>
      <c r="D323"/>
    </row>
    <row r="324" spans="3:4" x14ac:dyDescent="0.25">
      <c r="C324"/>
      <c r="D324"/>
    </row>
    <row r="325" spans="3:4" x14ac:dyDescent="0.25">
      <c r="C325"/>
      <c r="D325"/>
    </row>
    <row r="326" spans="3:4" x14ac:dyDescent="0.25">
      <c r="C326"/>
      <c r="D326"/>
    </row>
    <row r="327" spans="3:4" x14ac:dyDescent="0.25">
      <c r="C327"/>
      <c r="D327"/>
    </row>
    <row r="328" spans="3:4" x14ac:dyDescent="0.25">
      <c r="C328"/>
      <c r="D328"/>
    </row>
    <row r="329" spans="3:4" x14ac:dyDescent="0.25">
      <c r="C329"/>
      <c r="D329"/>
    </row>
    <row r="330" spans="3:4" x14ac:dyDescent="0.25">
      <c r="C330"/>
      <c r="D330"/>
    </row>
    <row r="331" spans="3:4" x14ac:dyDescent="0.25">
      <c r="C331"/>
      <c r="D331"/>
    </row>
    <row r="332" spans="3:4" x14ac:dyDescent="0.25">
      <c r="C332"/>
      <c r="D332"/>
    </row>
    <row r="333" spans="3:4" x14ac:dyDescent="0.25">
      <c r="C333"/>
      <c r="D333"/>
    </row>
    <row r="334" spans="3:4" x14ac:dyDescent="0.25">
      <c r="C334"/>
      <c r="D334"/>
    </row>
    <row r="335" spans="3:4" x14ac:dyDescent="0.25">
      <c r="C335"/>
      <c r="D335"/>
    </row>
    <row r="336" spans="3:4" x14ac:dyDescent="0.25">
      <c r="C336"/>
      <c r="D336"/>
    </row>
    <row r="337" spans="3:4" x14ac:dyDescent="0.25">
      <c r="C337"/>
      <c r="D337"/>
    </row>
    <row r="338" spans="3:4" x14ac:dyDescent="0.25">
      <c r="C338"/>
      <c r="D338"/>
    </row>
    <row r="339" spans="3:4" x14ac:dyDescent="0.25">
      <c r="C339"/>
      <c r="D339"/>
    </row>
    <row r="340" spans="3:4" x14ac:dyDescent="0.25">
      <c r="C340"/>
      <c r="D340"/>
    </row>
    <row r="341" spans="3:4" x14ac:dyDescent="0.25">
      <c r="C341"/>
      <c r="D341"/>
    </row>
    <row r="342" spans="3:4" x14ac:dyDescent="0.25">
      <c r="C342"/>
      <c r="D342"/>
    </row>
    <row r="343" spans="3:4" x14ac:dyDescent="0.25">
      <c r="C343"/>
      <c r="D343"/>
    </row>
    <row r="344" spans="3:4" x14ac:dyDescent="0.25">
      <c r="C344"/>
      <c r="D344"/>
    </row>
    <row r="345" spans="3:4" x14ac:dyDescent="0.25">
      <c r="C345"/>
      <c r="D345"/>
    </row>
    <row r="346" spans="3:4" x14ac:dyDescent="0.25">
      <c r="C346"/>
      <c r="D346"/>
    </row>
    <row r="347" spans="3:4" x14ac:dyDescent="0.25">
      <c r="C347"/>
      <c r="D347"/>
    </row>
    <row r="348" spans="3:4" x14ac:dyDescent="0.25">
      <c r="C348"/>
      <c r="D348"/>
    </row>
    <row r="349" spans="3:4" x14ac:dyDescent="0.25">
      <c r="C349"/>
      <c r="D349"/>
    </row>
    <row r="350" spans="3:4" x14ac:dyDescent="0.25">
      <c r="C350"/>
      <c r="D350"/>
    </row>
    <row r="351" spans="3:4" x14ac:dyDescent="0.25">
      <c r="C351"/>
      <c r="D351"/>
    </row>
    <row r="352" spans="3:4" x14ac:dyDescent="0.25">
      <c r="C352"/>
      <c r="D352"/>
    </row>
    <row r="353" spans="3:4" x14ac:dyDescent="0.25">
      <c r="C353"/>
      <c r="D353"/>
    </row>
    <row r="354" spans="3:4" x14ac:dyDescent="0.25">
      <c r="C354"/>
      <c r="D354"/>
    </row>
    <row r="355" spans="3:4" x14ac:dyDescent="0.25">
      <c r="C355"/>
      <c r="D355"/>
    </row>
    <row r="356" spans="3:4" x14ac:dyDescent="0.25">
      <c r="C356"/>
      <c r="D356"/>
    </row>
    <row r="357" spans="3:4" x14ac:dyDescent="0.25">
      <c r="C357"/>
      <c r="D357"/>
    </row>
    <row r="358" spans="3:4" x14ac:dyDescent="0.25">
      <c r="C358"/>
      <c r="D358"/>
    </row>
    <row r="359" spans="3:4" x14ac:dyDescent="0.25">
      <c r="C359"/>
      <c r="D359"/>
    </row>
    <row r="360" spans="3:4" x14ac:dyDescent="0.25">
      <c r="C360"/>
      <c r="D360"/>
    </row>
    <row r="361" spans="3:4" x14ac:dyDescent="0.25">
      <c r="C361"/>
      <c r="D361"/>
    </row>
    <row r="362" spans="3:4" x14ac:dyDescent="0.25">
      <c r="C362"/>
      <c r="D362"/>
    </row>
    <row r="363" spans="3:4" x14ac:dyDescent="0.25">
      <c r="C363"/>
      <c r="D363"/>
    </row>
    <row r="364" spans="3:4" x14ac:dyDescent="0.25">
      <c r="C364"/>
      <c r="D364"/>
    </row>
    <row r="365" spans="3:4" x14ac:dyDescent="0.25">
      <c r="C365"/>
      <c r="D365"/>
    </row>
    <row r="366" spans="3:4" x14ac:dyDescent="0.25">
      <c r="C366"/>
      <c r="D366"/>
    </row>
    <row r="367" spans="3:4" x14ac:dyDescent="0.25">
      <c r="C367"/>
      <c r="D367"/>
    </row>
    <row r="368" spans="3:4" x14ac:dyDescent="0.25">
      <c r="C368"/>
      <c r="D368"/>
    </row>
    <row r="369" spans="3:4" x14ac:dyDescent="0.25">
      <c r="C369"/>
      <c r="D369"/>
    </row>
    <row r="370" spans="3:4" x14ac:dyDescent="0.25">
      <c r="C370"/>
      <c r="D370"/>
    </row>
    <row r="371" spans="3:4" x14ac:dyDescent="0.25">
      <c r="C371"/>
      <c r="D371"/>
    </row>
    <row r="372" spans="3:4" x14ac:dyDescent="0.25">
      <c r="C372"/>
      <c r="D372"/>
    </row>
    <row r="373" spans="3:4" x14ac:dyDescent="0.25">
      <c r="C373"/>
      <c r="D373"/>
    </row>
    <row r="374" spans="3:4" x14ac:dyDescent="0.25">
      <c r="C374"/>
      <c r="D374"/>
    </row>
    <row r="375" spans="3:4" x14ac:dyDescent="0.25">
      <c r="C375"/>
      <c r="D375"/>
    </row>
    <row r="376" spans="3:4" x14ac:dyDescent="0.25">
      <c r="C376"/>
      <c r="D376"/>
    </row>
    <row r="377" spans="3:4" x14ac:dyDescent="0.25">
      <c r="C377"/>
      <c r="D377"/>
    </row>
    <row r="378" spans="3:4" x14ac:dyDescent="0.25">
      <c r="C378"/>
      <c r="D378"/>
    </row>
    <row r="379" spans="3:4" x14ac:dyDescent="0.25">
      <c r="C379"/>
      <c r="D379"/>
    </row>
    <row r="380" spans="3:4" x14ac:dyDescent="0.25">
      <c r="C380"/>
      <c r="D380"/>
    </row>
    <row r="381" spans="3:4" x14ac:dyDescent="0.25">
      <c r="C381"/>
      <c r="D381"/>
    </row>
    <row r="382" spans="3:4" x14ac:dyDescent="0.25">
      <c r="C382"/>
      <c r="D382"/>
    </row>
    <row r="383" spans="3:4" x14ac:dyDescent="0.25">
      <c r="C383"/>
      <c r="D383"/>
    </row>
    <row r="384" spans="3:4" x14ac:dyDescent="0.25">
      <c r="C384"/>
      <c r="D384"/>
    </row>
    <row r="385" spans="3:4" x14ac:dyDescent="0.25">
      <c r="C385"/>
      <c r="D385"/>
    </row>
    <row r="386" spans="3:4" x14ac:dyDescent="0.25">
      <c r="C386"/>
      <c r="D386"/>
    </row>
    <row r="387" spans="3:4" x14ac:dyDescent="0.25">
      <c r="C387"/>
      <c r="D387"/>
    </row>
    <row r="388" spans="3:4" x14ac:dyDescent="0.25">
      <c r="C388"/>
      <c r="D388"/>
    </row>
    <row r="389" spans="3:4" x14ac:dyDescent="0.25">
      <c r="C389"/>
      <c r="D389"/>
    </row>
    <row r="390" spans="3:4" x14ac:dyDescent="0.25">
      <c r="C390"/>
      <c r="D390"/>
    </row>
    <row r="391" spans="3:4" x14ac:dyDescent="0.25">
      <c r="C391"/>
      <c r="D391"/>
    </row>
    <row r="392" spans="3:4" x14ac:dyDescent="0.25">
      <c r="C392"/>
      <c r="D392"/>
    </row>
    <row r="393" spans="3:4" x14ac:dyDescent="0.25">
      <c r="C393"/>
      <c r="D393"/>
    </row>
    <row r="394" spans="3:4" x14ac:dyDescent="0.25">
      <c r="C394"/>
      <c r="D394"/>
    </row>
    <row r="395" spans="3:4" x14ac:dyDescent="0.25">
      <c r="C395"/>
      <c r="D395"/>
    </row>
    <row r="396" spans="3:4" x14ac:dyDescent="0.25">
      <c r="C396"/>
      <c r="D396"/>
    </row>
    <row r="397" spans="3:4" x14ac:dyDescent="0.25">
      <c r="C397"/>
      <c r="D397"/>
    </row>
    <row r="398" spans="3:4" x14ac:dyDescent="0.25">
      <c r="C398"/>
      <c r="D398"/>
    </row>
    <row r="399" spans="3:4" x14ac:dyDescent="0.25">
      <c r="C399"/>
      <c r="D399"/>
    </row>
    <row r="400" spans="3:4" x14ac:dyDescent="0.25">
      <c r="C400"/>
      <c r="D400"/>
    </row>
    <row r="401" spans="3:4" x14ac:dyDescent="0.25">
      <c r="C401"/>
      <c r="D401"/>
    </row>
    <row r="402" spans="3:4" x14ac:dyDescent="0.25">
      <c r="C402"/>
      <c r="D402"/>
    </row>
    <row r="403" spans="3:4" x14ac:dyDescent="0.25">
      <c r="C403"/>
      <c r="D403"/>
    </row>
    <row r="404" spans="3:4" x14ac:dyDescent="0.25">
      <c r="C404"/>
      <c r="D404"/>
    </row>
    <row r="405" spans="3:4" x14ac:dyDescent="0.25">
      <c r="C405"/>
      <c r="D405"/>
    </row>
    <row r="406" spans="3:4" x14ac:dyDescent="0.25">
      <c r="C406"/>
      <c r="D406"/>
    </row>
    <row r="407" spans="3:4" x14ac:dyDescent="0.25">
      <c r="C407"/>
      <c r="D407"/>
    </row>
    <row r="408" spans="3:4" x14ac:dyDescent="0.25">
      <c r="C408"/>
      <c r="D408"/>
    </row>
    <row r="409" spans="3:4" x14ac:dyDescent="0.25">
      <c r="C409"/>
      <c r="D409"/>
    </row>
    <row r="410" spans="3:4" x14ac:dyDescent="0.25">
      <c r="C410"/>
      <c r="D410"/>
    </row>
    <row r="411" spans="3:4" x14ac:dyDescent="0.25">
      <c r="C411"/>
      <c r="D411"/>
    </row>
    <row r="412" spans="3:4" x14ac:dyDescent="0.25">
      <c r="C412"/>
      <c r="D412"/>
    </row>
    <row r="413" spans="3:4" x14ac:dyDescent="0.25">
      <c r="C413"/>
      <c r="D413"/>
    </row>
    <row r="414" spans="3:4" x14ac:dyDescent="0.25">
      <c r="C414"/>
      <c r="D414"/>
    </row>
    <row r="415" spans="3:4" x14ac:dyDescent="0.25">
      <c r="C415"/>
      <c r="D415"/>
    </row>
    <row r="416" spans="3:4" x14ac:dyDescent="0.25">
      <c r="C416"/>
      <c r="D416"/>
    </row>
    <row r="417" spans="3:4" x14ac:dyDescent="0.25">
      <c r="C417"/>
      <c r="D417"/>
    </row>
    <row r="418" spans="3:4" x14ac:dyDescent="0.25">
      <c r="C418"/>
      <c r="D418"/>
    </row>
    <row r="419" spans="3:4" x14ac:dyDescent="0.25">
      <c r="C419"/>
      <c r="D419"/>
    </row>
    <row r="420" spans="3:4" x14ac:dyDescent="0.25">
      <c r="C420"/>
      <c r="D420"/>
    </row>
    <row r="421" spans="3:4" x14ac:dyDescent="0.25">
      <c r="C421"/>
      <c r="D421"/>
    </row>
    <row r="422" spans="3:4" x14ac:dyDescent="0.25">
      <c r="C422"/>
      <c r="D422"/>
    </row>
    <row r="423" spans="3:4" x14ac:dyDescent="0.25">
      <c r="C423"/>
      <c r="D423"/>
    </row>
    <row r="424" spans="3:4" x14ac:dyDescent="0.25">
      <c r="C424"/>
      <c r="D424"/>
    </row>
    <row r="425" spans="3:4" x14ac:dyDescent="0.25">
      <c r="C425"/>
      <c r="D425"/>
    </row>
    <row r="426" spans="3:4" x14ac:dyDescent="0.25">
      <c r="C426"/>
      <c r="D426"/>
    </row>
    <row r="427" spans="3:4" x14ac:dyDescent="0.25">
      <c r="C427"/>
      <c r="D427"/>
    </row>
    <row r="428" spans="3:4" x14ac:dyDescent="0.25">
      <c r="C428"/>
      <c r="D428"/>
    </row>
    <row r="429" spans="3:4" x14ac:dyDescent="0.25">
      <c r="C429"/>
      <c r="D429"/>
    </row>
    <row r="430" spans="3:4" x14ac:dyDescent="0.25">
      <c r="C430"/>
      <c r="D430"/>
    </row>
    <row r="431" spans="3:4" x14ac:dyDescent="0.25">
      <c r="C431"/>
      <c r="D431"/>
    </row>
    <row r="432" spans="3:4" x14ac:dyDescent="0.25">
      <c r="C432"/>
      <c r="D432"/>
    </row>
    <row r="433" spans="3:4" x14ac:dyDescent="0.25">
      <c r="C433"/>
      <c r="D433"/>
    </row>
    <row r="434" spans="3:4" x14ac:dyDescent="0.25">
      <c r="C434"/>
      <c r="D434"/>
    </row>
    <row r="435" spans="3:4" x14ac:dyDescent="0.25">
      <c r="C435"/>
      <c r="D435"/>
    </row>
    <row r="436" spans="3:4" x14ac:dyDescent="0.25">
      <c r="C436"/>
      <c r="D436"/>
    </row>
    <row r="437" spans="3:4" x14ac:dyDescent="0.25">
      <c r="C437"/>
      <c r="D437"/>
    </row>
    <row r="438" spans="3:4" x14ac:dyDescent="0.25">
      <c r="C438"/>
      <c r="D438"/>
    </row>
    <row r="439" spans="3:4" x14ac:dyDescent="0.25">
      <c r="C439"/>
      <c r="D439"/>
    </row>
    <row r="440" spans="3:4" x14ac:dyDescent="0.25">
      <c r="C440"/>
      <c r="D440"/>
    </row>
    <row r="441" spans="3:4" x14ac:dyDescent="0.25">
      <c r="C441"/>
      <c r="D441"/>
    </row>
    <row r="442" spans="3:4" x14ac:dyDescent="0.25">
      <c r="C442"/>
      <c r="D442"/>
    </row>
    <row r="443" spans="3:4" x14ac:dyDescent="0.25">
      <c r="C443"/>
      <c r="D443"/>
    </row>
    <row r="444" spans="3:4" x14ac:dyDescent="0.25">
      <c r="C444"/>
      <c r="D444"/>
    </row>
    <row r="445" spans="3:4" x14ac:dyDescent="0.25">
      <c r="C445"/>
      <c r="D445"/>
    </row>
    <row r="446" spans="3:4" x14ac:dyDescent="0.25">
      <c r="C446"/>
      <c r="D446"/>
    </row>
    <row r="447" spans="3:4" x14ac:dyDescent="0.25">
      <c r="C447"/>
      <c r="D447"/>
    </row>
    <row r="448" spans="3:4" x14ac:dyDescent="0.25">
      <c r="C448"/>
      <c r="D448"/>
    </row>
    <row r="449" spans="3:4" x14ac:dyDescent="0.25">
      <c r="C449"/>
      <c r="D449"/>
    </row>
    <row r="450" spans="3:4" x14ac:dyDescent="0.25">
      <c r="C450"/>
      <c r="D450"/>
    </row>
    <row r="451" spans="3:4" x14ac:dyDescent="0.25">
      <c r="C451"/>
      <c r="D451"/>
    </row>
    <row r="452" spans="3:4" x14ac:dyDescent="0.25">
      <c r="C452"/>
      <c r="D452"/>
    </row>
    <row r="453" spans="3:4" x14ac:dyDescent="0.25">
      <c r="C453"/>
      <c r="D453"/>
    </row>
    <row r="454" spans="3:4" x14ac:dyDescent="0.25">
      <c r="C454"/>
      <c r="D454"/>
    </row>
    <row r="455" spans="3:4" x14ac:dyDescent="0.25">
      <c r="C455"/>
      <c r="D455"/>
    </row>
    <row r="456" spans="3:4" x14ac:dyDescent="0.25">
      <c r="C456"/>
      <c r="D456"/>
    </row>
    <row r="457" spans="3:4" x14ac:dyDescent="0.25">
      <c r="C457"/>
      <c r="D457"/>
    </row>
    <row r="458" spans="3:4" x14ac:dyDescent="0.25">
      <c r="C458"/>
      <c r="D458"/>
    </row>
    <row r="459" spans="3:4" x14ac:dyDescent="0.25">
      <c r="C459"/>
      <c r="D459"/>
    </row>
    <row r="460" spans="3:4" x14ac:dyDescent="0.25">
      <c r="C460"/>
      <c r="D460"/>
    </row>
    <row r="461" spans="3:4" x14ac:dyDescent="0.25">
      <c r="C461"/>
      <c r="D461"/>
    </row>
    <row r="462" spans="3:4" x14ac:dyDescent="0.25">
      <c r="C462"/>
      <c r="D462"/>
    </row>
    <row r="463" spans="3:4" x14ac:dyDescent="0.25">
      <c r="C463"/>
      <c r="D463"/>
    </row>
    <row r="464" spans="3:4" x14ac:dyDescent="0.25">
      <c r="C464"/>
      <c r="D464"/>
    </row>
    <row r="465" spans="3:4" x14ac:dyDescent="0.25">
      <c r="C465"/>
      <c r="D465"/>
    </row>
    <row r="466" spans="3:4" x14ac:dyDescent="0.25">
      <c r="C466"/>
      <c r="D466"/>
    </row>
    <row r="467" spans="3:4" x14ac:dyDescent="0.25">
      <c r="C467"/>
      <c r="D467"/>
    </row>
    <row r="468" spans="3:4" x14ac:dyDescent="0.25">
      <c r="C468"/>
      <c r="D468"/>
    </row>
    <row r="469" spans="3:4" x14ac:dyDescent="0.25">
      <c r="C469"/>
      <c r="D469"/>
    </row>
    <row r="470" spans="3:4" x14ac:dyDescent="0.25">
      <c r="C470"/>
      <c r="D470"/>
    </row>
    <row r="471" spans="3:4" x14ac:dyDescent="0.25">
      <c r="C471"/>
      <c r="D471"/>
    </row>
    <row r="472" spans="3:4" x14ac:dyDescent="0.25">
      <c r="C472"/>
      <c r="D472"/>
    </row>
    <row r="473" spans="3:4" x14ac:dyDescent="0.25">
      <c r="C473"/>
      <c r="D473"/>
    </row>
    <row r="474" spans="3:4" x14ac:dyDescent="0.25">
      <c r="C474"/>
      <c r="D474"/>
    </row>
    <row r="475" spans="3:4" x14ac:dyDescent="0.25">
      <c r="C475"/>
      <c r="D475"/>
    </row>
    <row r="476" spans="3:4" x14ac:dyDescent="0.25">
      <c r="C476"/>
      <c r="D476"/>
    </row>
    <row r="477" spans="3:4" x14ac:dyDescent="0.25">
      <c r="C477"/>
      <c r="D477"/>
    </row>
    <row r="478" spans="3:4" x14ac:dyDescent="0.25">
      <c r="C478"/>
      <c r="D478"/>
    </row>
    <row r="479" spans="3:4" x14ac:dyDescent="0.25">
      <c r="C479"/>
      <c r="D479"/>
    </row>
    <row r="480" spans="3:4" x14ac:dyDescent="0.25">
      <c r="C480"/>
      <c r="D480"/>
    </row>
    <row r="481" spans="3:4" x14ac:dyDescent="0.25">
      <c r="C481"/>
      <c r="D481"/>
    </row>
    <row r="482" spans="3:4" x14ac:dyDescent="0.25">
      <c r="C482"/>
      <c r="D482"/>
    </row>
    <row r="483" spans="3:4" x14ac:dyDescent="0.25">
      <c r="C483"/>
      <c r="D483"/>
    </row>
    <row r="484" spans="3:4" x14ac:dyDescent="0.25">
      <c r="C484"/>
      <c r="D484"/>
    </row>
    <row r="485" spans="3:4" x14ac:dyDescent="0.25">
      <c r="C485"/>
      <c r="D485"/>
    </row>
    <row r="486" spans="3:4" x14ac:dyDescent="0.25">
      <c r="C486"/>
      <c r="D486"/>
    </row>
    <row r="487" spans="3:4" x14ac:dyDescent="0.25">
      <c r="C487"/>
      <c r="D487"/>
    </row>
    <row r="488" spans="3:4" x14ac:dyDescent="0.25">
      <c r="C488"/>
      <c r="D488"/>
    </row>
    <row r="489" spans="3:4" x14ac:dyDescent="0.25">
      <c r="C489"/>
      <c r="D489"/>
    </row>
    <row r="490" spans="3:4" x14ac:dyDescent="0.25">
      <c r="C490"/>
      <c r="D490"/>
    </row>
    <row r="491" spans="3:4" x14ac:dyDescent="0.25">
      <c r="C491"/>
      <c r="D491"/>
    </row>
    <row r="492" spans="3:4" x14ac:dyDescent="0.25">
      <c r="C492"/>
      <c r="D492"/>
    </row>
    <row r="493" spans="3:4" x14ac:dyDescent="0.25">
      <c r="C493"/>
      <c r="D493"/>
    </row>
    <row r="494" spans="3:4" x14ac:dyDescent="0.25">
      <c r="C494"/>
      <c r="D494"/>
    </row>
    <row r="495" spans="3:4" x14ac:dyDescent="0.25">
      <c r="C495"/>
      <c r="D495"/>
    </row>
    <row r="496" spans="3:4" x14ac:dyDescent="0.25">
      <c r="C496"/>
      <c r="D496"/>
    </row>
    <row r="497" spans="3:4" x14ac:dyDescent="0.25">
      <c r="C497"/>
      <c r="D497"/>
    </row>
    <row r="498" spans="3:4" x14ac:dyDescent="0.25">
      <c r="C498"/>
      <c r="D498"/>
    </row>
    <row r="499" spans="3:4" x14ac:dyDescent="0.25">
      <c r="C499"/>
      <c r="D499"/>
    </row>
    <row r="500" spans="3:4" x14ac:dyDescent="0.25">
      <c r="C500"/>
      <c r="D500"/>
    </row>
    <row r="501" spans="3:4" x14ac:dyDescent="0.25">
      <c r="C501"/>
      <c r="D501"/>
    </row>
    <row r="502" spans="3:4" x14ac:dyDescent="0.25">
      <c r="C502"/>
      <c r="D502"/>
    </row>
    <row r="503" spans="3:4" x14ac:dyDescent="0.25">
      <c r="C503"/>
      <c r="D503"/>
    </row>
    <row r="504" spans="3:4" x14ac:dyDescent="0.25">
      <c r="C504"/>
      <c r="D504"/>
    </row>
    <row r="505" spans="3:4" x14ac:dyDescent="0.25">
      <c r="C505"/>
      <c r="D505"/>
    </row>
    <row r="506" spans="3:4" x14ac:dyDescent="0.25">
      <c r="C506"/>
      <c r="D506"/>
    </row>
    <row r="507" spans="3:4" x14ac:dyDescent="0.25">
      <c r="C507"/>
      <c r="D507"/>
    </row>
    <row r="508" spans="3:4" x14ac:dyDescent="0.25">
      <c r="C508"/>
      <c r="D508"/>
    </row>
    <row r="509" spans="3:4" x14ac:dyDescent="0.25">
      <c r="C509"/>
      <c r="D509"/>
    </row>
    <row r="510" spans="3:4" x14ac:dyDescent="0.25">
      <c r="C510"/>
      <c r="D510"/>
    </row>
    <row r="511" spans="3:4" x14ac:dyDescent="0.25">
      <c r="C511"/>
      <c r="D511"/>
    </row>
    <row r="512" spans="3:4" x14ac:dyDescent="0.25">
      <c r="C512"/>
      <c r="D512"/>
    </row>
    <row r="513" spans="3:4" x14ac:dyDescent="0.25">
      <c r="C513"/>
      <c r="D513"/>
    </row>
    <row r="514" spans="3:4" x14ac:dyDescent="0.25">
      <c r="C514"/>
      <c r="D514"/>
    </row>
    <row r="515" spans="3:4" x14ac:dyDescent="0.25">
      <c r="C515"/>
      <c r="D515"/>
    </row>
    <row r="516" spans="3:4" x14ac:dyDescent="0.25">
      <c r="C516"/>
      <c r="D516"/>
    </row>
    <row r="517" spans="3:4" x14ac:dyDescent="0.25">
      <c r="C517"/>
      <c r="D517"/>
    </row>
    <row r="518" spans="3:4" x14ac:dyDescent="0.25">
      <c r="C518"/>
      <c r="D518"/>
    </row>
    <row r="519" spans="3:4" x14ac:dyDescent="0.25">
      <c r="C519"/>
      <c r="D519"/>
    </row>
    <row r="520" spans="3:4" x14ac:dyDescent="0.25">
      <c r="C520"/>
      <c r="D520"/>
    </row>
    <row r="521" spans="3:4" x14ac:dyDescent="0.25">
      <c r="C521"/>
      <c r="D521"/>
    </row>
    <row r="522" spans="3:4" x14ac:dyDescent="0.25">
      <c r="C522"/>
      <c r="D522"/>
    </row>
    <row r="523" spans="3:4" x14ac:dyDescent="0.25">
      <c r="C523"/>
      <c r="D523"/>
    </row>
    <row r="524" spans="3:4" x14ac:dyDescent="0.25">
      <c r="C524"/>
      <c r="D524"/>
    </row>
    <row r="525" spans="3:4" x14ac:dyDescent="0.25">
      <c r="C525"/>
      <c r="D525"/>
    </row>
    <row r="526" spans="3:4" x14ac:dyDescent="0.25">
      <c r="C526"/>
      <c r="D526"/>
    </row>
    <row r="527" spans="3:4" x14ac:dyDescent="0.25">
      <c r="C527"/>
      <c r="D527"/>
    </row>
    <row r="528" spans="3:4" x14ac:dyDescent="0.25">
      <c r="C528"/>
      <c r="D528"/>
    </row>
    <row r="529" spans="3:4" x14ac:dyDescent="0.25">
      <c r="C529"/>
      <c r="D529"/>
    </row>
    <row r="530" spans="3:4" x14ac:dyDescent="0.25">
      <c r="C530"/>
      <c r="D530"/>
    </row>
    <row r="531" spans="3:4" x14ac:dyDescent="0.25">
      <c r="C531"/>
      <c r="D531"/>
    </row>
    <row r="532" spans="3:4" x14ac:dyDescent="0.25">
      <c r="C532"/>
      <c r="D532"/>
    </row>
    <row r="533" spans="3:4" x14ac:dyDescent="0.25">
      <c r="C533"/>
      <c r="D533"/>
    </row>
    <row r="534" spans="3:4" x14ac:dyDescent="0.25">
      <c r="C534"/>
      <c r="D534"/>
    </row>
    <row r="535" spans="3:4" x14ac:dyDescent="0.25">
      <c r="C535"/>
      <c r="D535"/>
    </row>
    <row r="536" spans="3:4" x14ac:dyDescent="0.25">
      <c r="C536"/>
      <c r="D536"/>
    </row>
    <row r="537" spans="3:4" x14ac:dyDescent="0.25">
      <c r="C537"/>
      <c r="D537"/>
    </row>
    <row r="538" spans="3:4" x14ac:dyDescent="0.25">
      <c r="C538"/>
      <c r="D538"/>
    </row>
    <row r="539" spans="3:4" x14ac:dyDescent="0.25">
      <c r="C539"/>
      <c r="D539"/>
    </row>
    <row r="540" spans="3:4" x14ac:dyDescent="0.25">
      <c r="C540"/>
      <c r="D540"/>
    </row>
    <row r="541" spans="3:4" x14ac:dyDescent="0.25">
      <c r="C541"/>
      <c r="D541"/>
    </row>
    <row r="542" spans="3:4" x14ac:dyDescent="0.25">
      <c r="C542"/>
      <c r="D542"/>
    </row>
    <row r="543" spans="3:4" x14ac:dyDescent="0.25">
      <c r="C543"/>
      <c r="D543"/>
    </row>
    <row r="544" spans="3:4" x14ac:dyDescent="0.25">
      <c r="C544"/>
      <c r="D544"/>
    </row>
    <row r="545" spans="3:4" x14ac:dyDescent="0.25">
      <c r="C545"/>
      <c r="D545"/>
    </row>
    <row r="546" spans="3:4" x14ac:dyDescent="0.25">
      <c r="C546"/>
      <c r="D546"/>
    </row>
    <row r="547" spans="3:4" x14ac:dyDescent="0.25">
      <c r="C547"/>
      <c r="D547"/>
    </row>
    <row r="548" spans="3:4" x14ac:dyDescent="0.25">
      <c r="C548"/>
      <c r="D548"/>
    </row>
    <row r="549" spans="3:4" x14ac:dyDescent="0.25">
      <c r="C549"/>
      <c r="D549"/>
    </row>
    <row r="550" spans="3:4" x14ac:dyDescent="0.25">
      <c r="C550"/>
      <c r="D550"/>
    </row>
    <row r="551" spans="3:4" x14ac:dyDescent="0.25">
      <c r="C551"/>
      <c r="D551"/>
    </row>
    <row r="552" spans="3:4" x14ac:dyDescent="0.25">
      <c r="C552"/>
      <c r="D552"/>
    </row>
    <row r="553" spans="3:4" x14ac:dyDescent="0.25">
      <c r="C553"/>
      <c r="D553"/>
    </row>
    <row r="554" spans="3:4" x14ac:dyDescent="0.25">
      <c r="C554"/>
      <c r="D554"/>
    </row>
    <row r="555" spans="3:4" x14ac:dyDescent="0.25">
      <c r="C555"/>
      <c r="D555"/>
    </row>
    <row r="556" spans="3:4" x14ac:dyDescent="0.25">
      <c r="C556"/>
      <c r="D556"/>
    </row>
    <row r="557" spans="3:4" x14ac:dyDescent="0.25">
      <c r="C557"/>
      <c r="D557"/>
    </row>
    <row r="558" spans="3:4" x14ac:dyDescent="0.25">
      <c r="C558"/>
      <c r="D558"/>
    </row>
    <row r="559" spans="3:4" x14ac:dyDescent="0.25">
      <c r="C559"/>
      <c r="D559"/>
    </row>
    <row r="560" spans="3:4" x14ac:dyDescent="0.25">
      <c r="C560"/>
      <c r="D560"/>
    </row>
    <row r="561" spans="3:4" x14ac:dyDescent="0.25">
      <c r="C561"/>
      <c r="D561"/>
    </row>
    <row r="562" spans="3:4" x14ac:dyDescent="0.25">
      <c r="C562"/>
      <c r="D562"/>
    </row>
    <row r="563" spans="3:4" x14ac:dyDescent="0.25">
      <c r="C563"/>
      <c r="D563"/>
    </row>
    <row r="564" spans="3:4" x14ac:dyDescent="0.25">
      <c r="C564"/>
      <c r="D564"/>
    </row>
    <row r="565" spans="3:4" x14ac:dyDescent="0.25">
      <c r="C565"/>
      <c r="D565"/>
    </row>
    <row r="566" spans="3:4" x14ac:dyDescent="0.25">
      <c r="C566"/>
      <c r="D566"/>
    </row>
    <row r="567" spans="3:4" x14ac:dyDescent="0.25">
      <c r="C567"/>
      <c r="D567"/>
    </row>
    <row r="568" spans="3:4" x14ac:dyDescent="0.25">
      <c r="C568"/>
      <c r="D568"/>
    </row>
    <row r="569" spans="3:4" x14ac:dyDescent="0.25">
      <c r="C569"/>
      <c r="D569"/>
    </row>
    <row r="570" spans="3:4" x14ac:dyDescent="0.25">
      <c r="C570"/>
      <c r="D570"/>
    </row>
    <row r="571" spans="3:4" x14ac:dyDescent="0.25">
      <c r="C571"/>
      <c r="D571"/>
    </row>
    <row r="572" spans="3:4" x14ac:dyDescent="0.25">
      <c r="C572"/>
      <c r="D572"/>
    </row>
    <row r="573" spans="3:4" x14ac:dyDescent="0.25">
      <c r="C573"/>
      <c r="D573"/>
    </row>
    <row r="574" spans="3:4" x14ac:dyDescent="0.25">
      <c r="C574"/>
      <c r="D574"/>
    </row>
    <row r="575" spans="3:4" x14ac:dyDescent="0.25">
      <c r="C575"/>
      <c r="D575"/>
    </row>
    <row r="576" spans="3:4" x14ac:dyDescent="0.25">
      <c r="C576"/>
      <c r="D576"/>
    </row>
    <row r="577" spans="3:4" x14ac:dyDescent="0.25">
      <c r="C577"/>
      <c r="D577"/>
    </row>
    <row r="578" spans="3:4" x14ac:dyDescent="0.25">
      <c r="C578"/>
      <c r="D578"/>
    </row>
    <row r="579" spans="3:4" x14ac:dyDescent="0.25">
      <c r="C579"/>
      <c r="D579"/>
    </row>
    <row r="580" spans="3:4" x14ac:dyDescent="0.25">
      <c r="C580"/>
      <c r="D580"/>
    </row>
    <row r="581" spans="3:4" x14ac:dyDescent="0.25">
      <c r="C581"/>
      <c r="D581"/>
    </row>
    <row r="582" spans="3:4" x14ac:dyDescent="0.25">
      <c r="C582"/>
      <c r="D582"/>
    </row>
    <row r="583" spans="3:4" x14ac:dyDescent="0.25">
      <c r="C583"/>
      <c r="D583"/>
    </row>
    <row r="584" spans="3:4" x14ac:dyDescent="0.25">
      <c r="C584"/>
      <c r="D584"/>
    </row>
    <row r="585" spans="3:4" x14ac:dyDescent="0.25">
      <c r="C585"/>
      <c r="D585"/>
    </row>
    <row r="586" spans="3:4" x14ac:dyDescent="0.25">
      <c r="C586"/>
      <c r="D586"/>
    </row>
    <row r="587" spans="3:4" x14ac:dyDescent="0.25">
      <c r="C587"/>
      <c r="D587"/>
    </row>
    <row r="588" spans="3:4" x14ac:dyDescent="0.25">
      <c r="C588"/>
      <c r="D588"/>
    </row>
    <row r="589" spans="3:4" x14ac:dyDescent="0.25">
      <c r="C589"/>
      <c r="D589"/>
    </row>
    <row r="590" spans="3:4" x14ac:dyDescent="0.25">
      <c r="C590"/>
      <c r="D590"/>
    </row>
    <row r="591" spans="3:4" x14ac:dyDescent="0.25">
      <c r="C591"/>
      <c r="D591"/>
    </row>
    <row r="592" spans="3:4" x14ac:dyDescent="0.25">
      <c r="C592"/>
      <c r="D592"/>
    </row>
    <row r="593" spans="3:4" x14ac:dyDescent="0.25">
      <c r="C593"/>
      <c r="D593"/>
    </row>
    <row r="594" spans="3:4" x14ac:dyDescent="0.25">
      <c r="C594"/>
      <c r="D594"/>
    </row>
    <row r="595" spans="3:4" x14ac:dyDescent="0.25">
      <c r="C595"/>
      <c r="D595"/>
    </row>
    <row r="596" spans="3:4" x14ac:dyDescent="0.25">
      <c r="C596"/>
      <c r="D596"/>
    </row>
    <row r="597" spans="3:4" x14ac:dyDescent="0.25">
      <c r="C597"/>
      <c r="D597"/>
    </row>
    <row r="598" spans="3:4" x14ac:dyDescent="0.25">
      <c r="C598"/>
      <c r="D598"/>
    </row>
    <row r="599" spans="3:4" x14ac:dyDescent="0.25">
      <c r="C599"/>
      <c r="D599"/>
    </row>
    <row r="600" spans="3:4" x14ac:dyDescent="0.25">
      <c r="C600"/>
      <c r="D600"/>
    </row>
    <row r="601" spans="3:4" x14ac:dyDescent="0.25">
      <c r="C601"/>
      <c r="D601"/>
    </row>
    <row r="602" spans="3:4" x14ac:dyDescent="0.25">
      <c r="C602"/>
      <c r="D602"/>
    </row>
    <row r="603" spans="3:4" x14ac:dyDescent="0.25">
      <c r="C603"/>
      <c r="D603"/>
    </row>
    <row r="604" spans="3:4" x14ac:dyDescent="0.25">
      <c r="C604"/>
      <c r="D604"/>
    </row>
    <row r="605" spans="3:4" x14ac:dyDescent="0.25">
      <c r="C605"/>
      <c r="D605"/>
    </row>
    <row r="606" spans="3:4" x14ac:dyDescent="0.25">
      <c r="C606"/>
      <c r="D606"/>
    </row>
    <row r="607" spans="3:4" x14ac:dyDescent="0.25">
      <c r="C607"/>
      <c r="D607"/>
    </row>
    <row r="608" spans="3:4" x14ac:dyDescent="0.25">
      <c r="C608"/>
      <c r="D608"/>
    </row>
    <row r="609" spans="3:4" x14ac:dyDescent="0.25">
      <c r="C609"/>
      <c r="D609"/>
    </row>
    <row r="610" spans="3:4" x14ac:dyDescent="0.25">
      <c r="C610"/>
      <c r="D610"/>
    </row>
    <row r="611" spans="3:4" x14ac:dyDescent="0.25">
      <c r="C611"/>
      <c r="D611"/>
    </row>
    <row r="612" spans="3:4" x14ac:dyDescent="0.25">
      <c r="C612"/>
      <c r="D612"/>
    </row>
    <row r="613" spans="3:4" x14ac:dyDescent="0.25">
      <c r="C613"/>
      <c r="D613"/>
    </row>
    <row r="614" spans="3:4" x14ac:dyDescent="0.25">
      <c r="C614"/>
      <c r="D614"/>
    </row>
    <row r="615" spans="3:4" x14ac:dyDescent="0.25">
      <c r="C615"/>
      <c r="D615"/>
    </row>
    <row r="616" spans="3:4" x14ac:dyDescent="0.25">
      <c r="C616"/>
      <c r="D616"/>
    </row>
    <row r="617" spans="3:4" x14ac:dyDescent="0.25">
      <c r="C617"/>
      <c r="D617"/>
    </row>
    <row r="618" spans="3:4" x14ac:dyDescent="0.25">
      <c r="C618"/>
      <c r="D618"/>
    </row>
    <row r="619" spans="3:4" x14ac:dyDescent="0.25">
      <c r="C619"/>
      <c r="D619"/>
    </row>
    <row r="620" spans="3:4" x14ac:dyDescent="0.25">
      <c r="C620"/>
      <c r="D620"/>
    </row>
    <row r="621" spans="3:4" x14ac:dyDescent="0.25">
      <c r="C621"/>
      <c r="D621"/>
    </row>
    <row r="622" spans="3:4" x14ac:dyDescent="0.25">
      <c r="C622"/>
      <c r="D622"/>
    </row>
    <row r="623" spans="3:4" x14ac:dyDescent="0.25">
      <c r="C623"/>
      <c r="D623"/>
    </row>
    <row r="624" spans="3:4" x14ac:dyDescent="0.25">
      <c r="C624"/>
      <c r="D624"/>
    </row>
    <row r="625" spans="3:4" x14ac:dyDescent="0.25">
      <c r="C625"/>
      <c r="D625"/>
    </row>
    <row r="626" spans="3:4" x14ac:dyDescent="0.25">
      <c r="C626"/>
      <c r="D626"/>
    </row>
    <row r="627" spans="3:4" x14ac:dyDescent="0.25">
      <c r="C627"/>
      <c r="D627"/>
    </row>
    <row r="628" spans="3:4" x14ac:dyDescent="0.25">
      <c r="C628"/>
      <c r="D628"/>
    </row>
    <row r="629" spans="3:4" x14ac:dyDescent="0.25">
      <c r="C629"/>
      <c r="D629"/>
    </row>
    <row r="630" spans="3:4" x14ac:dyDescent="0.25">
      <c r="C630"/>
      <c r="D630"/>
    </row>
    <row r="631" spans="3:4" x14ac:dyDescent="0.25">
      <c r="C631"/>
      <c r="D631"/>
    </row>
    <row r="632" spans="3:4" x14ac:dyDescent="0.25">
      <c r="C632"/>
      <c r="D632"/>
    </row>
    <row r="633" spans="3:4" x14ac:dyDescent="0.25">
      <c r="C633"/>
      <c r="D633"/>
    </row>
    <row r="634" spans="3:4" x14ac:dyDescent="0.25">
      <c r="C634"/>
      <c r="D634"/>
    </row>
    <row r="635" spans="3:4" x14ac:dyDescent="0.25">
      <c r="C635"/>
      <c r="D635"/>
    </row>
    <row r="636" spans="3:4" x14ac:dyDescent="0.25">
      <c r="C636"/>
      <c r="D636"/>
    </row>
    <row r="637" spans="3:4" x14ac:dyDescent="0.25">
      <c r="C637"/>
      <c r="D637"/>
    </row>
    <row r="638" spans="3:4" x14ac:dyDescent="0.25">
      <c r="C638"/>
      <c r="D638"/>
    </row>
    <row r="639" spans="3:4" x14ac:dyDescent="0.25">
      <c r="C639"/>
      <c r="D639"/>
    </row>
    <row r="640" spans="3:4" x14ac:dyDescent="0.25">
      <c r="C640"/>
      <c r="D640"/>
    </row>
    <row r="641" spans="3:4" x14ac:dyDescent="0.25">
      <c r="C641"/>
      <c r="D641"/>
    </row>
    <row r="642" spans="3:4" x14ac:dyDescent="0.25">
      <c r="C642"/>
      <c r="D642"/>
    </row>
    <row r="643" spans="3:4" x14ac:dyDescent="0.25">
      <c r="C643"/>
      <c r="D643"/>
    </row>
    <row r="644" spans="3:4" x14ac:dyDescent="0.25">
      <c r="C644"/>
      <c r="D644"/>
    </row>
    <row r="645" spans="3:4" x14ac:dyDescent="0.25">
      <c r="C645"/>
      <c r="D645"/>
    </row>
    <row r="646" spans="3:4" x14ac:dyDescent="0.25">
      <c r="C646"/>
      <c r="D646"/>
    </row>
    <row r="647" spans="3:4" x14ac:dyDescent="0.25">
      <c r="C647"/>
      <c r="D647"/>
    </row>
    <row r="648" spans="3:4" x14ac:dyDescent="0.25">
      <c r="C648"/>
      <c r="D648"/>
    </row>
    <row r="649" spans="3:4" x14ac:dyDescent="0.25">
      <c r="C649"/>
      <c r="D649"/>
    </row>
    <row r="650" spans="3:4" x14ac:dyDescent="0.25">
      <c r="C650"/>
      <c r="D650"/>
    </row>
    <row r="651" spans="3:4" x14ac:dyDescent="0.25">
      <c r="C651"/>
      <c r="D651"/>
    </row>
    <row r="652" spans="3:4" x14ac:dyDescent="0.25">
      <c r="C652"/>
      <c r="D652"/>
    </row>
    <row r="653" spans="3:4" x14ac:dyDescent="0.25">
      <c r="C653"/>
      <c r="D653"/>
    </row>
    <row r="654" spans="3:4" x14ac:dyDescent="0.25">
      <c r="C654"/>
      <c r="D654"/>
    </row>
    <row r="655" spans="3:4" x14ac:dyDescent="0.25">
      <c r="C655"/>
      <c r="D655"/>
    </row>
    <row r="656" spans="3:4" x14ac:dyDescent="0.25">
      <c r="C656"/>
      <c r="D656"/>
    </row>
    <row r="657" spans="3:4" x14ac:dyDescent="0.25">
      <c r="C657"/>
      <c r="D657"/>
    </row>
    <row r="658" spans="3:4" x14ac:dyDescent="0.25">
      <c r="C658"/>
      <c r="D658"/>
    </row>
    <row r="659" spans="3:4" x14ac:dyDescent="0.25">
      <c r="C659"/>
      <c r="D659"/>
    </row>
    <row r="660" spans="3:4" x14ac:dyDescent="0.25">
      <c r="C660"/>
      <c r="D660"/>
    </row>
    <row r="661" spans="3:4" x14ac:dyDescent="0.25">
      <c r="C661"/>
      <c r="D661"/>
    </row>
    <row r="662" spans="3:4" x14ac:dyDescent="0.25">
      <c r="C662"/>
      <c r="D662"/>
    </row>
    <row r="663" spans="3:4" x14ac:dyDescent="0.25">
      <c r="C663"/>
      <c r="D663"/>
    </row>
    <row r="664" spans="3:4" x14ac:dyDescent="0.25">
      <c r="C664"/>
      <c r="D664"/>
    </row>
    <row r="665" spans="3:4" x14ac:dyDescent="0.25">
      <c r="C665"/>
      <c r="D665"/>
    </row>
    <row r="666" spans="3:4" x14ac:dyDescent="0.25">
      <c r="C666"/>
      <c r="D666"/>
    </row>
    <row r="667" spans="3:4" x14ac:dyDescent="0.25">
      <c r="C667"/>
      <c r="D667"/>
    </row>
    <row r="668" spans="3:4" x14ac:dyDescent="0.25">
      <c r="C668"/>
      <c r="D668"/>
    </row>
    <row r="669" spans="3:4" x14ac:dyDescent="0.25">
      <c r="C669"/>
      <c r="D669"/>
    </row>
    <row r="670" spans="3:4" x14ac:dyDescent="0.25">
      <c r="C670"/>
      <c r="D670"/>
    </row>
    <row r="671" spans="3:4" x14ac:dyDescent="0.25">
      <c r="C671"/>
      <c r="D671"/>
    </row>
    <row r="672" spans="3:4" x14ac:dyDescent="0.25">
      <c r="C672"/>
      <c r="D672"/>
    </row>
    <row r="673" spans="3:4" x14ac:dyDescent="0.25">
      <c r="C673"/>
      <c r="D673"/>
    </row>
    <row r="674" spans="3:4" x14ac:dyDescent="0.25">
      <c r="C674"/>
      <c r="D674"/>
    </row>
    <row r="675" spans="3:4" x14ac:dyDescent="0.25">
      <c r="C675"/>
      <c r="D675"/>
    </row>
    <row r="676" spans="3:4" x14ac:dyDescent="0.25">
      <c r="C676"/>
      <c r="D676"/>
    </row>
    <row r="677" spans="3:4" x14ac:dyDescent="0.25">
      <c r="C677"/>
      <c r="D677"/>
    </row>
    <row r="678" spans="3:4" x14ac:dyDescent="0.25">
      <c r="C678"/>
      <c r="D678"/>
    </row>
    <row r="679" spans="3:4" x14ac:dyDescent="0.25">
      <c r="C679"/>
      <c r="D679"/>
    </row>
    <row r="680" spans="3:4" x14ac:dyDescent="0.25">
      <c r="C680"/>
      <c r="D680"/>
    </row>
    <row r="681" spans="3:4" x14ac:dyDescent="0.25">
      <c r="C681"/>
      <c r="D681"/>
    </row>
    <row r="682" spans="3:4" x14ac:dyDescent="0.25">
      <c r="C682"/>
      <c r="D682"/>
    </row>
    <row r="683" spans="3:4" x14ac:dyDescent="0.25">
      <c r="C683"/>
      <c r="D683"/>
    </row>
    <row r="684" spans="3:4" x14ac:dyDescent="0.25">
      <c r="C684"/>
      <c r="D684"/>
    </row>
    <row r="685" spans="3:4" x14ac:dyDescent="0.25">
      <c r="C685"/>
      <c r="D685"/>
    </row>
    <row r="686" spans="3:4" x14ac:dyDescent="0.25">
      <c r="C686"/>
      <c r="D686"/>
    </row>
    <row r="687" spans="3:4" x14ac:dyDescent="0.25">
      <c r="C687"/>
      <c r="D687"/>
    </row>
    <row r="688" spans="3:4" x14ac:dyDescent="0.25">
      <c r="C688"/>
      <c r="D688"/>
    </row>
    <row r="689" spans="3:4" x14ac:dyDescent="0.25">
      <c r="C689"/>
      <c r="D689"/>
    </row>
    <row r="690" spans="3:4" x14ac:dyDescent="0.25">
      <c r="C690"/>
      <c r="D690"/>
    </row>
    <row r="691" spans="3:4" x14ac:dyDescent="0.25">
      <c r="C691"/>
      <c r="D691"/>
    </row>
    <row r="692" spans="3:4" x14ac:dyDescent="0.25">
      <c r="C692"/>
      <c r="D692"/>
    </row>
    <row r="693" spans="3:4" x14ac:dyDescent="0.25">
      <c r="C693"/>
      <c r="D693"/>
    </row>
    <row r="694" spans="3:4" x14ac:dyDescent="0.25">
      <c r="C694"/>
      <c r="D694"/>
    </row>
    <row r="695" spans="3:4" x14ac:dyDescent="0.25">
      <c r="C695"/>
      <c r="D695"/>
    </row>
    <row r="696" spans="3:4" x14ac:dyDescent="0.25">
      <c r="C696"/>
      <c r="D696"/>
    </row>
    <row r="697" spans="3:4" x14ac:dyDescent="0.25">
      <c r="C697"/>
      <c r="D697"/>
    </row>
    <row r="698" spans="3:4" x14ac:dyDescent="0.25">
      <c r="C698"/>
      <c r="D698"/>
    </row>
    <row r="699" spans="3:4" x14ac:dyDescent="0.25">
      <c r="C699"/>
      <c r="D699"/>
    </row>
    <row r="700" spans="3:4" x14ac:dyDescent="0.25">
      <c r="C700"/>
      <c r="D700"/>
    </row>
    <row r="701" spans="3:4" x14ac:dyDescent="0.25">
      <c r="C701"/>
      <c r="D701"/>
    </row>
    <row r="702" spans="3:4" x14ac:dyDescent="0.25">
      <c r="C702"/>
      <c r="D702"/>
    </row>
    <row r="703" spans="3:4" x14ac:dyDescent="0.25">
      <c r="C703"/>
      <c r="D703"/>
    </row>
    <row r="704" spans="3:4" x14ac:dyDescent="0.25">
      <c r="C704"/>
      <c r="D704"/>
    </row>
    <row r="705" spans="3:4" x14ac:dyDescent="0.25">
      <c r="C705"/>
      <c r="D705"/>
    </row>
    <row r="706" spans="3:4" x14ac:dyDescent="0.25">
      <c r="C706"/>
      <c r="D706"/>
    </row>
    <row r="707" spans="3:4" x14ac:dyDescent="0.25">
      <c r="C707"/>
      <c r="D707"/>
    </row>
    <row r="708" spans="3:4" x14ac:dyDescent="0.25">
      <c r="C708"/>
      <c r="D708"/>
    </row>
    <row r="709" spans="3:4" x14ac:dyDescent="0.25">
      <c r="C709"/>
      <c r="D709"/>
    </row>
    <row r="710" spans="3:4" x14ac:dyDescent="0.25">
      <c r="C710"/>
      <c r="D710"/>
    </row>
    <row r="711" spans="3:4" x14ac:dyDescent="0.25">
      <c r="C711"/>
      <c r="D711"/>
    </row>
    <row r="712" spans="3:4" x14ac:dyDescent="0.25">
      <c r="C712"/>
      <c r="D712"/>
    </row>
    <row r="713" spans="3:4" x14ac:dyDescent="0.25">
      <c r="C713"/>
      <c r="D713"/>
    </row>
    <row r="714" spans="3:4" x14ac:dyDescent="0.25">
      <c r="C714"/>
      <c r="D714"/>
    </row>
    <row r="715" spans="3:4" x14ac:dyDescent="0.25">
      <c r="C715"/>
      <c r="D715"/>
    </row>
    <row r="716" spans="3:4" x14ac:dyDescent="0.25">
      <c r="C716"/>
      <c r="D716"/>
    </row>
    <row r="717" spans="3:4" x14ac:dyDescent="0.25">
      <c r="C717"/>
      <c r="D717"/>
    </row>
    <row r="718" spans="3:4" x14ac:dyDescent="0.25">
      <c r="C718"/>
      <c r="D718"/>
    </row>
    <row r="719" spans="3:4" x14ac:dyDescent="0.25">
      <c r="C719"/>
      <c r="D719"/>
    </row>
    <row r="720" spans="3:4" x14ac:dyDescent="0.25">
      <c r="C720"/>
      <c r="D720"/>
    </row>
    <row r="721" spans="3:4" x14ac:dyDescent="0.25">
      <c r="C721"/>
      <c r="D721"/>
    </row>
    <row r="722" spans="3:4" x14ac:dyDescent="0.25">
      <c r="C722"/>
      <c r="D722"/>
    </row>
    <row r="723" spans="3:4" x14ac:dyDescent="0.25">
      <c r="C723"/>
      <c r="D723"/>
    </row>
    <row r="724" spans="3:4" x14ac:dyDescent="0.25">
      <c r="C724"/>
      <c r="D724"/>
    </row>
    <row r="725" spans="3:4" x14ac:dyDescent="0.25">
      <c r="C725"/>
      <c r="D725"/>
    </row>
    <row r="726" spans="3:4" x14ac:dyDescent="0.25">
      <c r="C726"/>
      <c r="D726"/>
    </row>
    <row r="727" spans="3:4" x14ac:dyDescent="0.25">
      <c r="C727"/>
      <c r="D727"/>
    </row>
    <row r="728" spans="3:4" x14ac:dyDescent="0.25">
      <c r="C728"/>
      <c r="D728"/>
    </row>
    <row r="729" spans="3:4" x14ac:dyDescent="0.25">
      <c r="C729"/>
      <c r="D729"/>
    </row>
    <row r="730" spans="3:4" x14ac:dyDescent="0.25">
      <c r="C730"/>
      <c r="D730"/>
    </row>
    <row r="731" spans="3:4" x14ac:dyDescent="0.25">
      <c r="C731"/>
      <c r="D731"/>
    </row>
    <row r="732" spans="3:4" x14ac:dyDescent="0.25">
      <c r="C732"/>
      <c r="D732"/>
    </row>
    <row r="733" spans="3:4" x14ac:dyDescent="0.25">
      <c r="C733"/>
      <c r="D733"/>
    </row>
    <row r="734" spans="3:4" x14ac:dyDescent="0.25">
      <c r="C734"/>
      <c r="D734"/>
    </row>
    <row r="735" spans="3:4" x14ac:dyDescent="0.25">
      <c r="C735"/>
      <c r="D735"/>
    </row>
    <row r="736" spans="3:4" x14ac:dyDescent="0.25">
      <c r="C736"/>
      <c r="D736"/>
    </row>
    <row r="737" spans="3:4" x14ac:dyDescent="0.25">
      <c r="C737"/>
      <c r="D737"/>
    </row>
    <row r="738" spans="3:4" x14ac:dyDescent="0.25">
      <c r="C738"/>
      <c r="D738"/>
    </row>
    <row r="739" spans="3:4" x14ac:dyDescent="0.25">
      <c r="C739"/>
      <c r="D739"/>
    </row>
    <row r="740" spans="3:4" x14ac:dyDescent="0.25">
      <c r="C740"/>
      <c r="D740"/>
    </row>
    <row r="741" spans="3:4" x14ac:dyDescent="0.25">
      <c r="C741"/>
      <c r="D741"/>
    </row>
    <row r="742" spans="3:4" x14ac:dyDescent="0.25">
      <c r="C742"/>
      <c r="D742"/>
    </row>
    <row r="743" spans="3:4" x14ac:dyDescent="0.25">
      <c r="C743"/>
      <c r="D743"/>
    </row>
    <row r="744" spans="3:4" x14ac:dyDescent="0.25">
      <c r="C744"/>
      <c r="D744"/>
    </row>
    <row r="745" spans="3:4" x14ac:dyDescent="0.25">
      <c r="C745"/>
      <c r="D745"/>
    </row>
    <row r="746" spans="3:4" x14ac:dyDescent="0.25">
      <c r="C746"/>
      <c r="D746"/>
    </row>
    <row r="747" spans="3:4" x14ac:dyDescent="0.25">
      <c r="C747"/>
      <c r="D747"/>
    </row>
    <row r="748" spans="3:4" x14ac:dyDescent="0.25">
      <c r="C748"/>
      <c r="D748"/>
    </row>
    <row r="749" spans="3:4" x14ac:dyDescent="0.25">
      <c r="C749"/>
      <c r="D749"/>
    </row>
    <row r="750" spans="3:4" x14ac:dyDescent="0.25">
      <c r="C750"/>
      <c r="D750"/>
    </row>
    <row r="751" spans="3:4" x14ac:dyDescent="0.25">
      <c r="C751"/>
      <c r="D751"/>
    </row>
    <row r="752" spans="3:4" x14ac:dyDescent="0.25">
      <c r="C752"/>
      <c r="D752"/>
    </row>
    <row r="753" spans="3:4" x14ac:dyDescent="0.25">
      <c r="C753"/>
      <c r="D753"/>
    </row>
    <row r="754" spans="3:4" x14ac:dyDescent="0.25">
      <c r="C754"/>
      <c r="D754"/>
    </row>
    <row r="755" spans="3:4" x14ac:dyDescent="0.25">
      <c r="C755"/>
      <c r="D755"/>
    </row>
    <row r="756" spans="3:4" x14ac:dyDescent="0.25">
      <c r="C756"/>
      <c r="D756"/>
    </row>
    <row r="757" spans="3:4" x14ac:dyDescent="0.25">
      <c r="C757"/>
      <c r="D757"/>
    </row>
    <row r="758" spans="3:4" x14ac:dyDescent="0.25">
      <c r="C758"/>
      <c r="D758"/>
    </row>
    <row r="759" spans="3:4" x14ac:dyDescent="0.25">
      <c r="C759"/>
      <c r="D759"/>
    </row>
    <row r="760" spans="3:4" x14ac:dyDescent="0.25">
      <c r="C760"/>
      <c r="D760"/>
    </row>
    <row r="761" spans="3:4" x14ac:dyDescent="0.25">
      <c r="C761"/>
      <c r="D761"/>
    </row>
    <row r="762" spans="3:4" x14ac:dyDescent="0.25">
      <c r="C762"/>
      <c r="D762"/>
    </row>
    <row r="763" spans="3:4" x14ac:dyDescent="0.25">
      <c r="C763"/>
      <c r="D763"/>
    </row>
    <row r="764" spans="3:4" x14ac:dyDescent="0.25">
      <c r="C764"/>
      <c r="D764"/>
    </row>
    <row r="765" spans="3:4" x14ac:dyDescent="0.25">
      <c r="C765"/>
      <c r="D765"/>
    </row>
    <row r="766" spans="3:4" x14ac:dyDescent="0.25">
      <c r="C766"/>
      <c r="D766"/>
    </row>
    <row r="767" spans="3:4" x14ac:dyDescent="0.25">
      <c r="C767"/>
      <c r="D767"/>
    </row>
    <row r="768" spans="3:4" x14ac:dyDescent="0.25">
      <c r="C768"/>
      <c r="D768"/>
    </row>
    <row r="769" spans="3:4" x14ac:dyDescent="0.25">
      <c r="C769"/>
      <c r="D769"/>
    </row>
    <row r="770" spans="3:4" x14ac:dyDescent="0.25">
      <c r="C770"/>
      <c r="D770"/>
    </row>
    <row r="771" spans="3:4" x14ac:dyDescent="0.25">
      <c r="C771"/>
      <c r="D771"/>
    </row>
    <row r="772" spans="3:4" x14ac:dyDescent="0.25">
      <c r="C772"/>
      <c r="D772"/>
    </row>
    <row r="773" spans="3:4" x14ac:dyDescent="0.25">
      <c r="C773"/>
      <c r="D773"/>
    </row>
    <row r="774" spans="3:4" x14ac:dyDescent="0.25">
      <c r="C774"/>
      <c r="D774"/>
    </row>
    <row r="775" spans="3:4" x14ac:dyDescent="0.25">
      <c r="C775"/>
      <c r="D775"/>
    </row>
    <row r="776" spans="3:4" x14ac:dyDescent="0.25">
      <c r="C776"/>
      <c r="D776"/>
    </row>
    <row r="777" spans="3:4" x14ac:dyDescent="0.25">
      <c r="C777"/>
      <c r="D777"/>
    </row>
    <row r="778" spans="3:4" x14ac:dyDescent="0.25">
      <c r="C778"/>
      <c r="D778"/>
    </row>
    <row r="779" spans="3:4" x14ac:dyDescent="0.25">
      <c r="C779"/>
      <c r="D779"/>
    </row>
    <row r="780" spans="3:4" x14ac:dyDescent="0.25">
      <c r="C780"/>
      <c r="D780"/>
    </row>
    <row r="781" spans="3:4" x14ac:dyDescent="0.25">
      <c r="C781"/>
      <c r="D781"/>
    </row>
    <row r="782" spans="3:4" x14ac:dyDescent="0.25">
      <c r="C782"/>
      <c r="D782"/>
    </row>
    <row r="783" spans="3:4" x14ac:dyDescent="0.25">
      <c r="C783"/>
      <c r="D783"/>
    </row>
    <row r="784" spans="3:4" x14ac:dyDescent="0.25">
      <c r="C784"/>
      <c r="D784"/>
    </row>
    <row r="785" spans="3:4" x14ac:dyDescent="0.25">
      <c r="C785"/>
      <c r="D785"/>
    </row>
    <row r="786" spans="3:4" x14ac:dyDescent="0.25">
      <c r="C786"/>
      <c r="D786"/>
    </row>
    <row r="787" spans="3:4" x14ac:dyDescent="0.25">
      <c r="C787"/>
      <c r="D787"/>
    </row>
    <row r="788" spans="3:4" x14ac:dyDescent="0.25">
      <c r="C788"/>
      <c r="D788"/>
    </row>
    <row r="789" spans="3:4" x14ac:dyDescent="0.25">
      <c r="C789"/>
      <c r="D789"/>
    </row>
    <row r="790" spans="3:4" x14ac:dyDescent="0.25">
      <c r="C790"/>
      <c r="D790"/>
    </row>
    <row r="791" spans="3:4" x14ac:dyDescent="0.25">
      <c r="C791"/>
      <c r="D791"/>
    </row>
    <row r="792" spans="3:4" x14ac:dyDescent="0.25">
      <c r="C792"/>
      <c r="D792"/>
    </row>
    <row r="793" spans="3:4" x14ac:dyDescent="0.25">
      <c r="C793"/>
      <c r="D793"/>
    </row>
    <row r="794" spans="3:4" x14ac:dyDescent="0.25">
      <c r="C794"/>
      <c r="D794"/>
    </row>
    <row r="795" spans="3:4" x14ac:dyDescent="0.25">
      <c r="C795"/>
      <c r="D795"/>
    </row>
    <row r="796" spans="3:4" x14ac:dyDescent="0.25">
      <c r="C796"/>
      <c r="D796"/>
    </row>
    <row r="797" spans="3:4" x14ac:dyDescent="0.25">
      <c r="C797"/>
      <c r="D797"/>
    </row>
    <row r="798" spans="3:4" x14ac:dyDescent="0.25">
      <c r="C798"/>
      <c r="D798"/>
    </row>
    <row r="799" spans="3:4" x14ac:dyDescent="0.25">
      <c r="C799"/>
      <c r="D799"/>
    </row>
    <row r="800" spans="3:4" x14ac:dyDescent="0.25">
      <c r="C800"/>
      <c r="D800"/>
    </row>
    <row r="801" spans="3:4" x14ac:dyDescent="0.25">
      <c r="C801"/>
      <c r="D801"/>
    </row>
    <row r="802" spans="3:4" x14ac:dyDescent="0.25">
      <c r="C802"/>
      <c r="D802"/>
    </row>
    <row r="803" spans="3:4" x14ac:dyDescent="0.25">
      <c r="C803"/>
      <c r="D803"/>
    </row>
    <row r="804" spans="3:4" x14ac:dyDescent="0.25">
      <c r="C804"/>
      <c r="D804"/>
    </row>
    <row r="805" spans="3:4" x14ac:dyDescent="0.25">
      <c r="C805"/>
      <c r="D805"/>
    </row>
    <row r="806" spans="3:4" x14ac:dyDescent="0.25">
      <c r="C806"/>
      <c r="D806"/>
    </row>
    <row r="807" spans="3:4" x14ac:dyDescent="0.25">
      <c r="C807"/>
      <c r="D807"/>
    </row>
    <row r="808" spans="3:4" x14ac:dyDescent="0.25">
      <c r="C808"/>
      <c r="D808"/>
    </row>
    <row r="809" spans="3:4" x14ac:dyDescent="0.25">
      <c r="C809"/>
      <c r="D809"/>
    </row>
    <row r="810" spans="3:4" x14ac:dyDescent="0.25">
      <c r="C810"/>
      <c r="D810"/>
    </row>
    <row r="811" spans="3:4" x14ac:dyDescent="0.25">
      <c r="C811"/>
      <c r="D811"/>
    </row>
    <row r="812" spans="3:4" x14ac:dyDescent="0.25">
      <c r="C812"/>
      <c r="D812"/>
    </row>
    <row r="813" spans="3:4" x14ac:dyDescent="0.25">
      <c r="C813"/>
      <c r="D813"/>
    </row>
    <row r="814" spans="3:4" x14ac:dyDescent="0.25">
      <c r="C814"/>
      <c r="D814"/>
    </row>
    <row r="815" spans="3:4" x14ac:dyDescent="0.25">
      <c r="C815"/>
      <c r="D815"/>
    </row>
    <row r="816" spans="3:4" x14ac:dyDescent="0.25">
      <c r="C816"/>
      <c r="D816"/>
    </row>
    <row r="817" spans="3:4" x14ac:dyDescent="0.25">
      <c r="C817"/>
      <c r="D817"/>
    </row>
    <row r="818" spans="3:4" x14ac:dyDescent="0.25">
      <c r="C818"/>
      <c r="D818"/>
    </row>
    <row r="819" spans="3:4" x14ac:dyDescent="0.25">
      <c r="C819"/>
      <c r="D819"/>
    </row>
    <row r="820" spans="3:4" x14ac:dyDescent="0.25">
      <c r="C820"/>
      <c r="D820"/>
    </row>
    <row r="821" spans="3:4" x14ac:dyDescent="0.25">
      <c r="C821"/>
      <c r="D821"/>
    </row>
    <row r="822" spans="3:4" x14ac:dyDescent="0.25">
      <c r="C822"/>
      <c r="D822"/>
    </row>
    <row r="823" spans="3:4" x14ac:dyDescent="0.25">
      <c r="C823"/>
      <c r="D823"/>
    </row>
    <row r="824" spans="3:4" x14ac:dyDescent="0.25">
      <c r="C824"/>
      <c r="D824"/>
    </row>
    <row r="825" spans="3:4" x14ac:dyDescent="0.25">
      <c r="C825"/>
      <c r="D825"/>
    </row>
    <row r="826" spans="3:4" x14ac:dyDescent="0.25">
      <c r="C826"/>
      <c r="D826"/>
    </row>
    <row r="827" spans="3:4" x14ac:dyDescent="0.25">
      <c r="C827"/>
      <c r="D827"/>
    </row>
    <row r="828" spans="3:4" x14ac:dyDescent="0.25">
      <c r="C828"/>
      <c r="D828"/>
    </row>
    <row r="829" spans="3:4" x14ac:dyDescent="0.25">
      <c r="C829"/>
      <c r="D829"/>
    </row>
    <row r="830" spans="3:4" x14ac:dyDescent="0.25">
      <c r="C830"/>
      <c r="D830"/>
    </row>
    <row r="831" spans="3:4" x14ac:dyDescent="0.25">
      <c r="C831"/>
      <c r="D831"/>
    </row>
    <row r="832" spans="3:4" x14ac:dyDescent="0.25">
      <c r="C832"/>
      <c r="D832"/>
    </row>
    <row r="833" spans="3:4" x14ac:dyDescent="0.25">
      <c r="C833"/>
      <c r="D833"/>
    </row>
    <row r="834" spans="3:4" x14ac:dyDescent="0.25">
      <c r="C834"/>
      <c r="D834"/>
    </row>
    <row r="835" spans="3:4" x14ac:dyDescent="0.25">
      <c r="C835"/>
      <c r="D835"/>
    </row>
    <row r="836" spans="3:4" x14ac:dyDescent="0.25">
      <c r="C836"/>
      <c r="D836"/>
    </row>
    <row r="837" spans="3:4" x14ac:dyDescent="0.25">
      <c r="C837"/>
      <c r="D837"/>
    </row>
    <row r="838" spans="3:4" x14ac:dyDescent="0.25">
      <c r="C838"/>
      <c r="D838"/>
    </row>
    <row r="839" spans="3:4" x14ac:dyDescent="0.25">
      <c r="C839"/>
      <c r="D839"/>
    </row>
    <row r="840" spans="3:4" x14ac:dyDescent="0.25">
      <c r="C840"/>
      <c r="D840"/>
    </row>
    <row r="841" spans="3:4" x14ac:dyDescent="0.25">
      <c r="C841"/>
      <c r="D841"/>
    </row>
    <row r="842" spans="3:4" x14ac:dyDescent="0.25">
      <c r="C842"/>
      <c r="D842"/>
    </row>
    <row r="843" spans="3:4" x14ac:dyDescent="0.25">
      <c r="C843"/>
      <c r="D843"/>
    </row>
    <row r="844" spans="3:4" x14ac:dyDescent="0.25">
      <c r="C844"/>
      <c r="D844"/>
    </row>
    <row r="845" spans="3:4" x14ac:dyDescent="0.25">
      <c r="C845"/>
      <c r="D845"/>
    </row>
    <row r="846" spans="3:4" x14ac:dyDescent="0.25">
      <c r="C846"/>
      <c r="D846"/>
    </row>
    <row r="847" spans="3:4" x14ac:dyDescent="0.25">
      <c r="C847"/>
      <c r="D847"/>
    </row>
    <row r="848" spans="3:4" x14ac:dyDescent="0.25">
      <c r="C848"/>
      <c r="D848"/>
    </row>
    <row r="849" spans="3:4" x14ac:dyDescent="0.25">
      <c r="C849"/>
      <c r="D849"/>
    </row>
    <row r="850" spans="3:4" x14ac:dyDescent="0.25">
      <c r="C850"/>
      <c r="D850"/>
    </row>
    <row r="851" spans="3:4" x14ac:dyDescent="0.25">
      <c r="C851"/>
      <c r="D851"/>
    </row>
    <row r="852" spans="3:4" x14ac:dyDescent="0.25">
      <c r="C852"/>
      <c r="D852"/>
    </row>
    <row r="853" spans="3:4" x14ac:dyDescent="0.25">
      <c r="C853"/>
      <c r="D853"/>
    </row>
    <row r="854" spans="3:4" x14ac:dyDescent="0.25">
      <c r="C854"/>
      <c r="D854"/>
    </row>
    <row r="855" spans="3:4" x14ac:dyDescent="0.25">
      <c r="C855"/>
      <c r="D855"/>
    </row>
    <row r="856" spans="3:4" x14ac:dyDescent="0.25">
      <c r="C856"/>
      <c r="D856"/>
    </row>
    <row r="857" spans="3:4" x14ac:dyDescent="0.25">
      <c r="C857"/>
      <c r="D857"/>
    </row>
    <row r="858" spans="3:4" x14ac:dyDescent="0.25">
      <c r="C858"/>
      <c r="D858"/>
    </row>
    <row r="859" spans="3:4" x14ac:dyDescent="0.25">
      <c r="C859"/>
      <c r="D859"/>
    </row>
    <row r="860" spans="3:4" x14ac:dyDescent="0.25">
      <c r="C860"/>
      <c r="D860"/>
    </row>
    <row r="861" spans="3:4" x14ac:dyDescent="0.25">
      <c r="C861"/>
      <c r="D861"/>
    </row>
    <row r="862" spans="3:4" x14ac:dyDescent="0.25">
      <c r="C862"/>
      <c r="D862"/>
    </row>
    <row r="863" spans="3:4" x14ac:dyDescent="0.25">
      <c r="C863"/>
      <c r="D863"/>
    </row>
    <row r="864" spans="3:4" x14ac:dyDescent="0.25">
      <c r="C864"/>
      <c r="D864"/>
    </row>
    <row r="865" spans="3:4" x14ac:dyDescent="0.25">
      <c r="C865"/>
      <c r="D865"/>
    </row>
    <row r="866" spans="3:4" x14ac:dyDescent="0.25">
      <c r="C866"/>
      <c r="D866"/>
    </row>
    <row r="867" spans="3:4" x14ac:dyDescent="0.25">
      <c r="C867"/>
      <c r="D867"/>
    </row>
    <row r="868" spans="3:4" x14ac:dyDescent="0.25">
      <c r="C868"/>
      <c r="D868"/>
    </row>
    <row r="869" spans="3:4" x14ac:dyDescent="0.25">
      <c r="C869"/>
      <c r="D869"/>
    </row>
    <row r="870" spans="3:4" x14ac:dyDescent="0.25">
      <c r="C870"/>
      <c r="D870"/>
    </row>
    <row r="871" spans="3:4" x14ac:dyDescent="0.25">
      <c r="C871"/>
      <c r="D871"/>
    </row>
    <row r="872" spans="3:4" x14ac:dyDescent="0.25">
      <c r="C872"/>
      <c r="D872"/>
    </row>
    <row r="873" spans="3:4" x14ac:dyDescent="0.25">
      <c r="C873"/>
      <c r="D873"/>
    </row>
    <row r="874" spans="3:4" x14ac:dyDescent="0.25">
      <c r="C874"/>
      <c r="D874"/>
    </row>
    <row r="875" spans="3:4" x14ac:dyDescent="0.25">
      <c r="C875"/>
      <c r="D875"/>
    </row>
    <row r="876" spans="3:4" x14ac:dyDescent="0.25">
      <c r="C876"/>
      <c r="D876"/>
    </row>
    <row r="877" spans="3:4" x14ac:dyDescent="0.25">
      <c r="C877"/>
      <c r="D877"/>
    </row>
    <row r="878" spans="3:4" x14ac:dyDescent="0.25">
      <c r="C878"/>
      <c r="D878"/>
    </row>
    <row r="879" spans="3:4" x14ac:dyDescent="0.25">
      <c r="C879"/>
      <c r="D879"/>
    </row>
    <row r="880" spans="3:4" x14ac:dyDescent="0.25">
      <c r="C880"/>
      <c r="D880"/>
    </row>
    <row r="881" spans="3:4" x14ac:dyDescent="0.25">
      <c r="C881"/>
      <c r="D881"/>
    </row>
    <row r="882" spans="3:4" x14ac:dyDescent="0.25">
      <c r="C882"/>
      <c r="D882"/>
    </row>
    <row r="883" spans="3:4" x14ac:dyDescent="0.25">
      <c r="C883"/>
      <c r="D883"/>
    </row>
    <row r="884" spans="3:4" x14ac:dyDescent="0.25">
      <c r="C884"/>
      <c r="D884"/>
    </row>
    <row r="885" spans="3:4" x14ac:dyDescent="0.25">
      <c r="C885"/>
      <c r="D885"/>
    </row>
    <row r="886" spans="3:4" x14ac:dyDescent="0.25">
      <c r="C886"/>
      <c r="D886"/>
    </row>
    <row r="887" spans="3:4" x14ac:dyDescent="0.25">
      <c r="C887"/>
      <c r="D887"/>
    </row>
    <row r="888" spans="3:4" x14ac:dyDescent="0.25">
      <c r="C888"/>
      <c r="D888"/>
    </row>
    <row r="889" spans="3:4" x14ac:dyDescent="0.25">
      <c r="C889"/>
      <c r="D889"/>
    </row>
    <row r="890" spans="3:4" x14ac:dyDescent="0.25">
      <c r="C890"/>
      <c r="D890"/>
    </row>
    <row r="891" spans="3:4" x14ac:dyDescent="0.25">
      <c r="C891"/>
      <c r="D891"/>
    </row>
    <row r="892" spans="3:4" x14ac:dyDescent="0.25">
      <c r="C892"/>
      <c r="D892"/>
    </row>
    <row r="893" spans="3:4" x14ac:dyDescent="0.25">
      <c r="C893"/>
      <c r="D893"/>
    </row>
    <row r="894" spans="3:4" x14ac:dyDescent="0.25">
      <c r="C894"/>
      <c r="D894"/>
    </row>
    <row r="895" spans="3:4" x14ac:dyDescent="0.25">
      <c r="C895"/>
      <c r="D895"/>
    </row>
    <row r="896" spans="3:4" x14ac:dyDescent="0.25">
      <c r="C896"/>
      <c r="D896"/>
    </row>
    <row r="897" spans="3:4" x14ac:dyDescent="0.25">
      <c r="C897"/>
      <c r="D897"/>
    </row>
    <row r="898" spans="3:4" x14ac:dyDescent="0.25">
      <c r="C898"/>
      <c r="D898"/>
    </row>
    <row r="899" spans="3:4" x14ac:dyDescent="0.25">
      <c r="C899"/>
      <c r="D899"/>
    </row>
    <row r="900" spans="3:4" x14ac:dyDescent="0.25">
      <c r="C900"/>
      <c r="D900"/>
    </row>
    <row r="901" spans="3:4" x14ac:dyDescent="0.25">
      <c r="C901"/>
      <c r="D901"/>
    </row>
    <row r="902" spans="3:4" x14ac:dyDescent="0.25">
      <c r="C902"/>
      <c r="D902"/>
    </row>
    <row r="903" spans="3:4" x14ac:dyDescent="0.25">
      <c r="C903"/>
      <c r="D903"/>
    </row>
    <row r="904" spans="3:4" x14ac:dyDescent="0.25">
      <c r="C904"/>
      <c r="D904"/>
    </row>
    <row r="905" spans="3:4" x14ac:dyDescent="0.25">
      <c r="C905"/>
      <c r="D905"/>
    </row>
    <row r="906" spans="3:4" x14ac:dyDescent="0.25">
      <c r="C906"/>
      <c r="D906"/>
    </row>
    <row r="907" spans="3:4" x14ac:dyDescent="0.25">
      <c r="C907"/>
      <c r="D907"/>
    </row>
    <row r="908" spans="3:4" x14ac:dyDescent="0.25">
      <c r="C908"/>
      <c r="D908"/>
    </row>
    <row r="909" spans="3:4" x14ac:dyDescent="0.25">
      <c r="C909"/>
      <c r="D909"/>
    </row>
    <row r="910" spans="3:4" x14ac:dyDescent="0.25">
      <c r="C910"/>
      <c r="D910"/>
    </row>
    <row r="911" spans="3:4" x14ac:dyDescent="0.25">
      <c r="C911"/>
      <c r="D911"/>
    </row>
    <row r="912" spans="3:4" x14ac:dyDescent="0.25">
      <c r="C912"/>
      <c r="D912"/>
    </row>
    <row r="913" spans="3:4" x14ac:dyDescent="0.25">
      <c r="C913"/>
      <c r="D913"/>
    </row>
    <row r="914" spans="3:4" x14ac:dyDescent="0.25">
      <c r="C914"/>
      <c r="D914"/>
    </row>
    <row r="915" spans="3:4" x14ac:dyDescent="0.25">
      <c r="C915"/>
      <c r="D915"/>
    </row>
    <row r="916" spans="3:4" x14ac:dyDescent="0.25">
      <c r="C916"/>
      <c r="D916"/>
    </row>
    <row r="917" spans="3:4" x14ac:dyDescent="0.25">
      <c r="C917"/>
      <c r="D917"/>
    </row>
    <row r="918" spans="3:4" x14ac:dyDescent="0.25">
      <c r="C918"/>
      <c r="D918"/>
    </row>
    <row r="919" spans="3:4" x14ac:dyDescent="0.25">
      <c r="C919"/>
      <c r="D919"/>
    </row>
    <row r="920" spans="3:4" x14ac:dyDescent="0.25">
      <c r="C920"/>
      <c r="D920"/>
    </row>
    <row r="921" spans="3:4" x14ac:dyDescent="0.25">
      <c r="C921"/>
      <c r="D921"/>
    </row>
    <row r="922" spans="3:4" x14ac:dyDescent="0.25">
      <c r="C922"/>
      <c r="D922"/>
    </row>
    <row r="923" spans="3:4" x14ac:dyDescent="0.25">
      <c r="C923"/>
      <c r="D923"/>
    </row>
    <row r="924" spans="3:4" x14ac:dyDescent="0.25">
      <c r="C924"/>
      <c r="D924"/>
    </row>
    <row r="925" spans="3:4" x14ac:dyDescent="0.25">
      <c r="C925"/>
      <c r="D925"/>
    </row>
    <row r="926" spans="3:4" x14ac:dyDescent="0.25">
      <c r="C926"/>
      <c r="D926"/>
    </row>
    <row r="927" spans="3:4" x14ac:dyDescent="0.25">
      <c r="C927"/>
      <c r="D927"/>
    </row>
    <row r="928" spans="3:4" x14ac:dyDescent="0.25">
      <c r="C928"/>
      <c r="D928"/>
    </row>
    <row r="929" spans="3:4" x14ac:dyDescent="0.25">
      <c r="C929"/>
      <c r="D929"/>
    </row>
    <row r="930" spans="3:4" x14ac:dyDescent="0.25">
      <c r="C930"/>
      <c r="D930"/>
    </row>
    <row r="931" spans="3:4" x14ac:dyDescent="0.25">
      <c r="C931"/>
      <c r="D931"/>
    </row>
    <row r="932" spans="3:4" x14ac:dyDescent="0.25">
      <c r="C932"/>
      <c r="D932"/>
    </row>
    <row r="933" spans="3:4" x14ac:dyDescent="0.25">
      <c r="C933"/>
      <c r="D933"/>
    </row>
    <row r="934" spans="3:4" x14ac:dyDescent="0.25">
      <c r="C934"/>
      <c r="D934"/>
    </row>
    <row r="935" spans="3:4" x14ac:dyDescent="0.25">
      <c r="C935"/>
      <c r="D935"/>
    </row>
    <row r="936" spans="3:4" x14ac:dyDescent="0.25">
      <c r="C936"/>
      <c r="D936"/>
    </row>
    <row r="937" spans="3:4" x14ac:dyDescent="0.25">
      <c r="C937"/>
      <c r="D937"/>
    </row>
    <row r="938" spans="3:4" x14ac:dyDescent="0.25">
      <c r="C938"/>
      <c r="D938"/>
    </row>
    <row r="939" spans="3:4" x14ac:dyDescent="0.25">
      <c r="C939"/>
      <c r="D939"/>
    </row>
    <row r="940" spans="3:4" x14ac:dyDescent="0.25">
      <c r="C940"/>
      <c r="D940"/>
    </row>
    <row r="941" spans="3:4" x14ac:dyDescent="0.25">
      <c r="C941"/>
      <c r="D941"/>
    </row>
    <row r="942" spans="3:4" x14ac:dyDescent="0.25">
      <c r="C942"/>
      <c r="D942"/>
    </row>
    <row r="943" spans="3:4" x14ac:dyDescent="0.25">
      <c r="C943"/>
      <c r="D943"/>
    </row>
    <row r="944" spans="3:4" x14ac:dyDescent="0.25">
      <c r="C944"/>
      <c r="D944"/>
    </row>
    <row r="945" spans="3:4" x14ac:dyDescent="0.25">
      <c r="C945"/>
      <c r="D945"/>
    </row>
    <row r="946" spans="3:4" x14ac:dyDescent="0.25">
      <c r="C946"/>
      <c r="D946"/>
    </row>
    <row r="947" spans="3:4" x14ac:dyDescent="0.25">
      <c r="C947"/>
      <c r="D947"/>
    </row>
    <row r="948" spans="3:4" x14ac:dyDescent="0.25">
      <c r="C948"/>
      <c r="D948"/>
    </row>
    <row r="949" spans="3:4" x14ac:dyDescent="0.25">
      <c r="C949"/>
      <c r="D949"/>
    </row>
    <row r="950" spans="3:4" x14ac:dyDescent="0.25">
      <c r="C950"/>
      <c r="D950"/>
    </row>
    <row r="951" spans="3:4" x14ac:dyDescent="0.25">
      <c r="C951"/>
      <c r="D951"/>
    </row>
    <row r="952" spans="3:4" x14ac:dyDescent="0.25">
      <c r="C952"/>
      <c r="D952"/>
    </row>
    <row r="953" spans="3:4" x14ac:dyDescent="0.25">
      <c r="C953"/>
      <c r="D953"/>
    </row>
    <row r="954" spans="3:4" x14ac:dyDescent="0.25">
      <c r="C954"/>
      <c r="D954"/>
    </row>
    <row r="955" spans="3:4" x14ac:dyDescent="0.25">
      <c r="C955"/>
      <c r="D955"/>
    </row>
    <row r="956" spans="3:4" x14ac:dyDescent="0.25">
      <c r="C956"/>
      <c r="D956"/>
    </row>
    <row r="957" spans="3:4" x14ac:dyDescent="0.25">
      <c r="C957"/>
      <c r="D957"/>
    </row>
    <row r="958" spans="3:4" x14ac:dyDescent="0.25">
      <c r="C958"/>
      <c r="D958"/>
    </row>
    <row r="959" spans="3:4" x14ac:dyDescent="0.25">
      <c r="C959"/>
      <c r="D959"/>
    </row>
    <row r="960" spans="3:4" x14ac:dyDescent="0.25">
      <c r="C960"/>
      <c r="D960"/>
    </row>
    <row r="961" spans="3:4" x14ac:dyDescent="0.25">
      <c r="C961"/>
      <c r="D961"/>
    </row>
    <row r="962" spans="3:4" x14ac:dyDescent="0.25">
      <c r="C962"/>
      <c r="D962"/>
    </row>
    <row r="963" spans="3:4" x14ac:dyDescent="0.25">
      <c r="C963"/>
      <c r="D963"/>
    </row>
    <row r="964" spans="3:4" x14ac:dyDescent="0.25">
      <c r="C964"/>
      <c r="D964"/>
    </row>
    <row r="965" spans="3:4" x14ac:dyDescent="0.25">
      <c r="C965"/>
      <c r="D965"/>
    </row>
    <row r="966" spans="3:4" x14ac:dyDescent="0.25">
      <c r="C966"/>
      <c r="D966"/>
    </row>
    <row r="967" spans="3:4" x14ac:dyDescent="0.25">
      <c r="C967"/>
      <c r="D967"/>
    </row>
    <row r="968" spans="3:4" x14ac:dyDescent="0.25">
      <c r="C968"/>
      <c r="D968"/>
    </row>
    <row r="969" spans="3:4" x14ac:dyDescent="0.25">
      <c r="C969"/>
      <c r="D969"/>
    </row>
    <row r="970" spans="3:4" x14ac:dyDescent="0.25">
      <c r="C970"/>
      <c r="D970"/>
    </row>
    <row r="971" spans="3:4" x14ac:dyDescent="0.25">
      <c r="C971"/>
      <c r="D971"/>
    </row>
    <row r="972" spans="3:4" x14ac:dyDescent="0.25">
      <c r="C972"/>
      <c r="D972"/>
    </row>
    <row r="973" spans="3:4" x14ac:dyDescent="0.25">
      <c r="C973"/>
      <c r="D973"/>
    </row>
    <row r="974" spans="3:4" x14ac:dyDescent="0.25">
      <c r="C974"/>
      <c r="D974"/>
    </row>
    <row r="975" spans="3:4" x14ac:dyDescent="0.25">
      <c r="C975"/>
      <c r="D975"/>
    </row>
    <row r="976" spans="3:4" x14ac:dyDescent="0.25">
      <c r="C976"/>
      <c r="D976"/>
    </row>
    <row r="977" spans="3:4" x14ac:dyDescent="0.25">
      <c r="C977"/>
      <c r="D977"/>
    </row>
    <row r="978" spans="3:4" x14ac:dyDescent="0.25">
      <c r="C978"/>
      <c r="D978"/>
    </row>
    <row r="979" spans="3:4" x14ac:dyDescent="0.25">
      <c r="C979"/>
      <c r="D979"/>
    </row>
    <row r="980" spans="3:4" x14ac:dyDescent="0.25">
      <c r="C980"/>
      <c r="D980"/>
    </row>
    <row r="981" spans="3:4" x14ac:dyDescent="0.25">
      <c r="C981"/>
      <c r="D981"/>
    </row>
    <row r="982" spans="3:4" x14ac:dyDescent="0.25">
      <c r="C982"/>
      <c r="D982"/>
    </row>
    <row r="983" spans="3:4" x14ac:dyDescent="0.25">
      <c r="C983"/>
      <c r="D983"/>
    </row>
    <row r="984" spans="3:4" x14ac:dyDescent="0.25">
      <c r="C984"/>
      <c r="D984"/>
    </row>
    <row r="985" spans="3:4" x14ac:dyDescent="0.25">
      <c r="C985"/>
      <c r="D985"/>
    </row>
    <row r="986" spans="3:4" x14ac:dyDescent="0.25">
      <c r="C986"/>
      <c r="D986"/>
    </row>
    <row r="987" spans="3:4" x14ac:dyDescent="0.25">
      <c r="C987"/>
      <c r="D987"/>
    </row>
    <row r="988" spans="3:4" x14ac:dyDescent="0.25">
      <c r="C988"/>
      <c r="D988"/>
    </row>
    <row r="989" spans="3:4" x14ac:dyDescent="0.25">
      <c r="C989"/>
      <c r="D989"/>
    </row>
    <row r="990" spans="3:4" x14ac:dyDescent="0.25">
      <c r="C990"/>
      <c r="D990"/>
    </row>
    <row r="991" spans="3:4" x14ac:dyDescent="0.25">
      <c r="C991"/>
      <c r="D991"/>
    </row>
    <row r="992" spans="3:4" x14ac:dyDescent="0.25">
      <c r="C992"/>
      <c r="D992"/>
    </row>
    <row r="993" spans="3:4" x14ac:dyDescent="0.25">
      <c r="C993"/>
      <c r="D993"/>
    </row>
    <row r="994" spans="3:4" x14ac:dyDescent="0.25">
      <c r="C994"/>
      <c r="D994"/>
    </row>
    <row r="995" spans="3:4" x14ac:dyDescent="0.25">
      <c r="C995"/>
      <c r="D995"/>
    </row>
    <row r="996" spans="3:4" x14ac:dyDescent="0.25">
      <c r="C996"/>
      <c r="D996"/>
    </row>
    <row r="997" spans="3:4" x14ac:dyDescent="0.25">
      <c r="C997"/>
      <c r="D997"/>
    </row>
    <row r="998" spans="3:4" x14ac:dyDescent="0.25">
      <c r="C998"/>
      <c r="D998"/>
    </row>
    <row r="999" spans="3:4" x14ac:dyDescent="0.25">
      <c r="C999"/>
      <c r="D999"/>
    </row>
    <row r="1000" spans="3:4" x14ac:dyDescent="0.25">
      <c r="C1000"/>
      <c r="D1000"/>
    </row>
    <row r="1001" spans="3:4" x14ac:dyDescent="0.25">
      <c r="C1001"/>
      <c r="D1001"/>
    </row>
    <row r="1002" spans="3:4" x14ac:dyDescent="0.25">
      <c r="C1002"/>
      <c r="D1002"/>
    </row>
    <row r="1003" spans="3:4" x14ac:dyDescent="0.25">
      <c r="C1003"/>
      <c r="D1003"/>
    </row>
    <row r="1004" spans="3:4" x14ac:dyDescent="0.25">
      <c r="C1004"/>
      <c r="D1004"/>
    </row>
    <row r="1005" spans="3:4" x14ac:dyDescent="0.25">
      <c r="C1005"/>
      <c r="D1005"/>
    </row>
    <row r="1006" spans="3:4" x14ac:dyDescent="0.25">
      <c r="C1006"/>
      <c r="D1006"/>
    </row>
    <row r="1007" spans="3:4" x14ac:dyDescent="0.25">
      <c r="C1007"/>
      <c r="D1007"/>
    </row>
    <row r="1008" spans="3:4" x14ac:dyDescent="0.25">
      <c r="C1008"/>
      <c r="D1008"/>
    </row>
    <row r="1009" spans="3:4" x14ac:dyDescent="0.25">
      <c r="C1009"/>
      <c r="D1009"/>
    </row>
    <row r="1010" spans="3:4" x14ac:dyDescent="0.25">
      <c r="C1010"/>
      <c r="D1010"/>
    </row>
    <row r="1011" spans="3:4" x14ac:dyDescent="0.25">
      <c r="C1011"/>
      <c r="D1011"/>
    </row>
    <row r="1012" spans="3:4" x14ac:dyDescent="0.25">
      <c r="C1012"/>
      <c r="D1012"/>
    </row>
    <row r="1013" spans="3:4" x14ac:dyDescent="0.25">
      <c r="C1013"/>
      <c r="D1013"/>
    </row>
    <row r="1014" spans="3:4" x14ac:dyDescent="0.25">
      <c r="C1014"/>
      <c r="D1014"/>
    </row>
    <row r="1015" spans="3:4" x14ac:dyDescent="0.25">
      <c r="C1015"/>
      <c r="D1015"/>
    </row>
    <row r="1016" spans="3:4" x14ac:dyDescent="0.25">
      <c r="C1016"/>
      <c r="D1016"/>
    </row>
    <row r="1017" spans="3:4" x14ac:dyDescent="0.25">
      <c r="C1017"/>
      <c r="D1017"/>
    </row>
    <row r="1018" spans="3:4" x14ac:dyDescent="0.25">
      <c r="C1018"/>
      <c r="D1018"/>
    </row>
    <row r="1019" spans="3:4" x14ac:dyDescent="0.25">
      <c r="C1019"/>
      <c r="D1019"/>
    </row>
    <row r="1020" spans="3:4" x14ac:dyDescent="0.25">
      <c r="C1020"/>
      <c r="D1020"/>
    </row>
    <row r="1021" spans="3:4" x14ac:dyDescent="0.25">
      <c r="C1021"/>
      <c r="D1021"/>
    </row>
    <row r="1022" spans="3:4" x14ac:dyDescent="0.25">
      <c r="C1022"/>
      <c r="D1022"/>
    </row>
    <row r="1023" spans="3:4" x14ac:dyDescent="0.25">
      <c r="C1023"/>
      <c r="D1023"/>
    </row>
    <row r="1024" spans="3:4" x14ac:dyDescent="0.25">
      <c r="C1024"/>
      <c r="D1024"/>
    </row>
    <row r="1025" spans="3:4" x14ac:dyDescent="0.25">
      <c r="C1025"/>
      <c r="D1025"/>
    </row>
    <row r="1026" spans="3:4" x14ac:dyDescent="0.25">
      <c r="C1026"/>
      <c r="D1026"/>
    </row>
    <row r="1027" spans="3:4" x14ac:dyDescent="0.25">
      <c r="C1027"/>
      <c r="D1027"/>
    </row>
    <row r="1028" spans="3:4" x14ac:dyDescent="0.25">
      <c r="C1028"/>
      <c r="D1028"/>
    </row>
    <row r="1029" spans="3:4" x14ac:dyDescent="0.25">
      <c r="C1029"/>
      <c r="D1029"/>
    </row>
    <row r="1030" spans="3:4" x14ac:dyDescent="0.25">
      <c r="C1030"/>
      <c r="D1030"/>
    </row>
    <row r="1031" spans="3:4" x14ac:dyDescent="0.25">
      <c r="C1031"/>
      <c r="D1031"/>
    </row>
    <row r="1032" spans="3:4" x14ac:dyDescent="0.25">
      <c r="C1032"/>
      <c r="D1032"/>
    </row>
    <row r="1033" spans="3:4" x14ac:dyDescent="0.25">
      <c r="C1033"/>
      <c r="D1033"/>
    </row>
    <row r="1034" spans="3:4" x14ac:dyDescent="0.25">
      <c r="C1034"/>
      <c r="D1034"/>
    </row>
    <row r="1035" spans="3:4" x14ac:dyDescent="0.25">
      <c r="C1035"/>
      <c r="D1035"/>
    </row>
    <row r="1036" spans="3:4" x14ac:dyDescent="0.25">
      <c r="C1036"/>
      <c r="D1036"/>
    </row>
    <row r="1037" spans="3:4" x14ac:dyDescent="0.25">
      <c r="C1037"/>
      <c r="D1037"/>
    </row>
    <row r="1038" spans="3:4" x14ac:dyDescent="0.25">
      <c r="C1038"/>
      <c r="D1038"/>
    </row>
    <row r="1039" spans="3:4" x14ac:dyDescent="0.25">
      <c r="C1039"/>
      <c r="D1039"/>
    </row>
    <row r="1040" spans="3:4" x14ac:dyDescent="0.25">
      <c r="C1040"/>
      <c r="D1040"/>
    </row>
    <row r="1041" spans="3:4" x14ac:dyDescent="0.25">
      <c r="C1041"/>
      <c r="D1041"/>
    </row>
    <row r="1042" spans="3:4" x14ac:dyDescent="0.25">
      <c r="C1042"/>
      <c r="D1042"/>
    </row>
    <row r="1043" spans="3:4" x14ac:dyDescent="0.25">
      <c r="C1043"/>
      <c r="D1043"/>
    </row>
    <row r="1044" spans="3:4" x14ac:dyDescent="0.25">
      <c r="C1044"/>
      <c r="D1044"/>
    </row>
    <row r="1045" spans="3:4" x14ac:dyDescent="0.25">
      <c r="C1045"/>
      <c r="D1045"/>
    </row>
    <row r="1046" spans="3:4" x14ac:dyDescent="0.25">
      <c r="C1046"/>
      <c r="D1046"/>
    </row>
    <row r="1047" spans="3:4" x14ac:dyDescent="0.25">
      <c r="C1047"/>
      <c r="D1047"/>
    </row>
    <row r="1048" spans="3:4" x14ac:dyDescent="0.25">
      <c r="C1048"/>
      <c r="D1048"/>
    </row>
    <row r="1049" spans="3:4" x14ac:dyDescent="0.25">
      <c r="C1049"/>
      <c r="D1049"/>
    </row>
    <row r="1050" spans="3:4" x14ac:dyDescent="0.25">
      <c r="C1050"/>
      <c r="D1050"/>
    </row>
    <row r="1051" spans="3:4" x14ac:dyDescent="0.25">
      <c r="C1051"/>
      <c r="D1051"/>
    </row>
    <row r="1052" spans="3:4" x14ac:dyDescent="0.25">
      <c r="C1052"/>
      <c r="D1052"/>
    </row>
    <row r="1053" spans="3:4" x14ac:dyDescent="0.25">
      <c r="C1053"/>
      <c r="D1053"/>
    </row>
    <row r="1054" spans="3:4" x14ac:dyDescent="0.25">
      <c r="C1054"/>
      <c r="D1054"/>
    </row>
    <row r="1055" spans="3:4" x14ac:dyDescent="0.25">
      <c r="C1055"/>
      <c r="D1055"/>
    </row>
    <row r="1056" spans="3:4" x14ac:dyDescent="0.25">
      <c r="C1056"/>
      <c r="D1056"/>
    </row>
    <row r="1057" spans="3:4" x14ac:dyDescent="0.25">
      <c r="C1057"/>
      <c r="D1057"/>
    </row>
    <row r="1058" spans="3:4" x14ac:dyDescent="0.25">
      <c r="C1058"/>
      <c r="D1058"/>
    </row>
    <row r="1059" spans="3:4" x14ac:dyDescent="0.25">
      <c r="C1059"/>
      <c r="D1059"/>
    </row>
    <row r="1060" spans="3:4" x14ac:dyDescent="0.25">
      <c r="C1060"/>
      <c r="D1060"/>
    </row>
    <row r="1061" spans="3:4" x14ac:dyDescent="0.25">
      <c r="C1061"/>
      <c r="D1061"/>
    </row>
    <row r="1062" spans="3:4" x14ac:dyDescent="0.25">
      <c r="C1062"/>
      <c r="D1062"/>
    </row>
    <row r="1063" spans="3:4" x14ac:dyDescent="0.25">
      <c r="C1063"/>
      <c r="D1063"/>
    </row>
    <row r="1064" spans="3:4" x14ac:dyDescent="0.25">
      <c r="C1064"/>
      <c r="D1064"/>
    </row>
    <row r="1065" spans="3:4" x14ac:dyDescent="0.25">
      <c r="C1065"/>
      <c r="D1065"/>
    </row>
    <row r="1066" spans="3:4" x14ac:dyDescent="0.25">
      <c r="C1066"/>
      <c r="D1066"/>
    </row>
    <row r="1067" spans="3:4" x14ac:dyDescent="0.25">
      <c r="C1067"/>
      <c r="D1067"/>
    </row>
    <row r="1068" spans="3:4" x14ac:dyDescent="0.25">
      <c r="C1068"/>
      <c r="D1068"/>
    </row>
    <row r="1069" spans="3:4" x14ac:dyDescent="0.25">
      <c r="C1069"/>
      <c r="D1069"/>
    </row>
    <row r="1070" spans="3:4" x14ac:dyDescent="0.25">
      <c r="C1070"/>
      <c r="D1070"/>
    </row>
    <row r="1071" spans="3:4" x14ac:dyDescent="0.25">
      <c r="C1071"/>
      <c r="D1071"/>
    </row>
    <row r="1072" spans="3:4" x14ac:dyDescent="0.25">
      <c r="C1072"/>
      <c r="D1072"/>
    </row>
    <row r="1073" spans="3:4" x14ac:dyDescent="0.25">
      <c r="C1073"/>
      <c r="D1073"/>
    </row>
    <row r="1074" spans="3:4" x14ac:dyDescent="0.25">
      <c r="C1074"/>
      <c r="D1074"/>
    </row>
    <row r="1075" spans="3:4" x14ac:dyDescent="0.25">
      <c r="C1075"/>
      <c r="D1075"/>
    </row>
    <row r="1076" spans="3:4" x14ac:dyDescent="0.25">
      <c r="C1076"/>
      <c r="D1076"/>
    </row>
    <row r="1077" spans="3:4" x14ac:dyDescent="0.25">
      <c r="C1077"/>
      <c r="D1077"/>
    </row>
    <row r="1078" spans="3:4" x14ac:dyDescent="0.25">
      <c r="C1078"/>
      <c r="D1078"/>
    </row>
    <row r="1079" spans="3:4" x14ac:dyDescent="0.25">
      <c r="C1079"/>
      <c r="D1079"/>
    </row>
    <row r="1080" spans="3:4" x14ac:dyDescent="0.25">
      <c r="C1080"/>
      <c r="D1080"/>
    </row>
    <row r="1081" spans="3:4" x14ac:dyDescent="0.25">
      <c r="C1081"/>
      <c r="D1081"/>
    </row>
    <row r="1082" spans="3:4" x14ac:dyDescent="0.25">
      <c r="C1082"/>
      <c r="D1082"/>
    </row>
    <row r="1083" spans="3:4" x14ac:dyDescent="0.25">
      <c r="C1083"/>
      <c r="D1083"/>
    </row>
    <row r="1084" spans="3:4" x14ac:dyDescent="0.25">
      <c r="C1084"/>
      <c r="D1084"/>
    </row>
    <row r="1085" spans="3:4" x14ac:dyDescent="0.25">
      <c r="C1085"/>
      <c r="D1085"/>
    </row>
    <row r="1086" spans="3:4" x14ac:dyDescent="0.25">
      <c r="C1086"/>
      <c r="D1086"/>
    </row>
    <row r="1087" spans="3:4" x14ac:dyDescent="0.25">
      <c r="C1087"/>
      <c r="D1087"/>
    </row>
    <row r="1088" spans="3:4" x14ac:dyDescent="0.25">
      <c r="C1088"/>
      <c r="D1088"/>
    </row>
    <row r="1089" spans="3:4" x14ac:dyDescent="0.25">
      <c r="C1089"/>
      <c r="D1089"/>
    </row>
    <row r="1090" spans="3:4" x14ac:dyDescent="0.25">
      <c r="C1090"/>
      <c r="D1090"/>
    </row>
    <row r="1091" spans="3:4" x14ac:dyDescent="0.25">
      <c r="C1091"/>
      <c r="D1091"/>
    </row>
    <row r="1092" spans="3:4" x14ac:dyDescent="0.25">
      <c r="C1092"/>
      <c r="D1092"/>
    </row>
    <row r="1093" spans="3:4" x14ac:dyDescent="0.25">
      <c r="C1093"/>
      <c r="D1093"/>
    </row>
    <row r="1094" spans="3:4" x14ac:dyDescent="0.25">
      <c r="C1094"/>
      <c r="D1094"/>
    </row>
    <row r="1095" spans="3:4" x14ac:dyDescent="0.25">
      <c r="C1095"/>
      <c r="D1095"/>
    </row>
    <row r="1096" spans="3:4" x14ac:dyDescent="0.25">
      <c r="C1096"/>
      <c r="D1096"/>
    </row>
    <row r="1097" spans="3:4" x14ac:dyDescent="0.25">
      <c r="C1097"/>
      <c r="D1097"/>
    </row>
    <row r="1098" spans="3:4" x14ac:dyDescent="0.25">
      <c r="C1098"/>
      <c r="D1098"/>
    </row>
    <row r="1099" spans="3:4" x14ac:dyDescent="0.25">
      <c r="C1099"/>
      <c r="D1099"/>
    </row>
    <row r="1100" spans="3:4" x14ac:dyDescent="0.25">
      <c r="C1100"/>
      <c r="D1100"/>
    </row>
    <row r="1101" spans="3:4" x14ac:dyDescent="0.25">
      <c r="C1101"/>
      <c r="D1101"/>
    </row>
    <row r="1102" spans="3:4" x14ac:dyDescent="0.25">
      <c r="C1102"/>
      <c r="D1102"/>
    </row>
    <row r="1103" spans="3:4" x14ac:dyDescent="0.25">
      <c r="C1103"/>
      <c r="D1103"/>
    </row>
    <row r="1104" spans="3:4" x14ac:dyDescent="0.25">
      <c r="C1104"/>
      <c r="D1104"/>
    </row>
    <row r="1105" spans="3:4" x14ac:dyDescent="0.25">
      <c r="C1105"/>
      <c r="D1105"/>
    </row>
    <row r="1106" spans="3:4" x14ac:dyDescent="0.25">
      <c r="C1106"/>
      <c r="D1106"/>
    </row>
    <row r="1107" spans="3:4" x14ac:dyDescent="0.25">
      <c r="C1107"/>
      <c r="D1107"/>
    </row>
    <row r="1108" spans="3:4" x14ac:dyDescent="0.25">
      <c r="C1108"/>
      <c r="D1108"/>
    </row>
    <row r="1109" spans="3:4" x14ac:dyDescent="0.25">
      <c r="C1109"/>
      <c r="D1109"/>
    </row>
    <row r="1110" spans="3:4" x14ac:dyDescent="0.25">
      <c r="C1110"/>
      <c r="D1110"/>
    </row>
    <row r="1111" spans="3:4" x14ac:dyDescent="0.25">
      <c r="C1111"/>
      <c r="D1111"/>
    </row>
    <row r="1112" spans="3:4" x14ac:dyDescent="0.25">
      <c r="C1112"/>
      <c r="D1112"/>
    </row>
    <row r="1113" spans="3:4" x14ac:dyDescent="0.25">
      <c r="C1113"/>
      <c r="D1113"/>
    </row>
    <row r="1114" spans="3:4" x14ac:dyDescent="0.25">
      <c r="C1114"/>
      <c r="D1114"/>
    </row>
    <row r="1115" spans="3:4" x14ac:dyDescent="0.25">
      <c r="C1115"/>
      <c r="D1115"/>
    </row>
    <row r="1116" spans="3:4" x14ac:dyDescent="0.25">
      <c r="C1116"/>
      <c r="D1116"/>
    </row>
    <row r="1117" spans="3:4" x14ac:dyDescent="0.25">
      <c r="C1117"/>
      <c r="D1117"/>
    </row>
    <row r="1118" spans="3:4" x14ac:dyDescent="0.25">
      <c r="C1118"/>
      <c r="D1118"/>
    </row>
    <row r="1119" spans="3:4" x14ac:dyDescent="0.25">
      <c r="C1119"/>
      <c r="D1119"/>
    </row>
    <row r="1120" spans="3:4" x14ac:dyDescent="0.25">
      <c r="C1120"/>
      <c r="D1120"/>
    </row>
    <row r="1121" spans="3:4" x14ac:dyDescent="0.25">
      <c r="C1121"/>
      <c r="D1121"/>
    </row>
    <row r="1122" spans="3:4" x14ac:dyDescent="0.25">
      <c r="C1122"/>
      <c r="D1122"/>
    </row>
    <row r="1123" spans="3:4" x14ac:dyDescent="0.25">
      <c r="C1123"/>
      <c r="D1123"/>
    </row>
    <row r="1124" spans="3:4" x14ac:dyDescent="0.25">
      <c r="C1124"/>
      <c r="D1124"/>
    </row>
    <row r="1125" spans="3:4" x14ac:dyDescent="0.25">
      <c r="C1125"/>
      <c r="D1125"/>
    </row>
    <row r="1126" spans="3:4" x14ac:dyDescent="0.25">
      <c r="C1126"/>
      <c r="D1126"/>
    </row>
    <row r="1127" spans="3:4" x14ac:dyDescent="0.25">
      <c r="C1127"/>
      <c r="D1127"/>
    </row>
    <row r="1128" spans="3:4" x14ac:dyDescent="0.25">
      <c r="C1128"/>
      <c r="D1128"/>
    </row>
    <row r="1129" spans="3:4" x14ac:dyDescent="0.25">
      <c r="C1129"/>
      <c r="D1129"/>
    </row>
    <row r="1130" spans="3:4" x14ac:dyDescent="0.25">
      <c r="C1130"/>
      <c r="D1130"/>
    </row>
    <row r="1131" spans="3:4" x14ac:dyDescent="0.25">
      <c r="C1131"/>
      <c r="D1131"/>
    </row>
    <row r="1132" spans="3:4" x14ac:dyDescent="0.25">
      <c r="C1132"/>
      <c r="D1132"/>
    </row>
    <row r="1133" spans="3:4" x14ac:dyDescent="0.25">
      <c r="C1133"/>
      <c r="D1133"/>
    </row>
    <row r="1134" spans="3:4" x14ac:dyDescent="0.25">
      <c r="C1134"/>
      <c r="D1134"/>
    </row>
    <row r="1135" spans="3:4" x14ac:dyDescent="0.25">
      <c r="C1135"/>
      <c r="D1135"/>
    </row>
    <row r="1136" spans="3:4" x14ac:dyDescent="0.25">
      <c r="C1136"/>
      <c r="D1136"/>
    </row>
    <row r="1137" spans="3:4" x14ac:dyDescent="0.25">
      <c r="C1137"/>
      <c r="D1137"/>
    </row>
    <row r="1138" spans="3:4" x14ac:dyDescent="0.25">
      <c r="C1138"/>
      <c r="D1138"/>
    </row>
    <row r="1139" spans="3:4" x14ac:dyDescent="0.25">
      <c r="C1139"/>
      <c r="D1139"/>
    </row>
    <row r="1140" spans="3:4" x14ac:dyDescent="0.25">
      <c r="C1140"/>
      <c r="D1140"/>
    </row>
    <row r="1141" spans="3:4" x14ac:dyDescent="0.25">
      <c r="C1141"/>
      <c r="D1141"/>
    </row>
    <row r="1142" spans="3:4" x14ac:dyDescent="0.25">
      <c r="C1142"/>
      <c r="D1142"/>
    </row>
    <row r="1143" spans="3:4" x14ac:dyDescent="0.25">
      <c r="C1143"/>
      <c r="D1143"/>
    </row>
    <row r="1144" spans="3:4" x14ac:dyDescent="0.25">
      <c r="C1144"/>
      <c r="D1144"/>
    </row>
    <row r="1145" spans="3:4" x14ac:dyDescent="0.25">
      <c r="C1145"/>
      <c r="D1145"/>
    </row>
    <row r="1146" spans="3:4" x14ac:dyDescent="0.25">
      <c r="C1146"/>
      <c r="D1146"/>
    </row>
    <row r="1147" spans="3:4" x14ac:dyDescent="0.25">
      <c r="C1147"/>
      <c r="D1147"/>
    </row>
    <row r="1148" spans="3:4" x14ac:dyDescent="0.25">
      <c r="C1148"/>
      <c r="D1148"/>
    </row>
    <row r="1149" spans="3:4" x14ac:dyDescent="0.25">
      <c r="C1149"/>
      <c r="D1149"/>
    </row>
    <row r="1150" spans="3:4" x14ac:dyDescent="0.25">
      <c r="C1150"/>
      <c r="D1150"/>
    </row>
    <row r="1151" spans="3:4" x14ac:dyDescent="0.25">
      <c r="C1151"/>
      <c r="D1151"/>
    </row>
    <row r="1152" spans="3:4" x14ac:dyDescent="0.25">
      <c r="C1152"/>
      <c r="D1152"/>
    </row>
  </sheetData>
  <mergeCells count="2">
    <mergeCell ref="C1:D2"/>
    <mergeCell ref="A1:B2"/>
  </mergeCells>
  <pageMargins left="0.7" right="0.7" top="0.75" bottom="0.75" header="0.3" footer="0.3"/>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41D93-1E00-4804-96E2-6174971B61D2}">
  <dimension ref="A1:G74"/>
  <sheetViews>
    <sheetView zoomScale="70" zoomScaleNormal="70" workbookViewId="0">
      <selection activeCell="D2" sqref="D2"/>
    </sheetView>
  </sheetViews>
  <sheetFormatPr baseColWidth="10" defaultColWidth="11.42578125" defaultRowHeight="15" x14ac:dyDescent="0.25"/>
  <cols>
    <col min="1" max="1" width="23.7109375" style="28" customWidth="1"/>
    <col min="2" max="2" width="26.5703125" style="8" customWidth="1"/>
    <col min="3" max="3" width="36.85546875" style="29" customWidth="1"/>
    <col min="4" max="4" width="20" style="29" customWidth="1"/>
    <col min="5" max="5" width="59.28515625" style="159" customWidth="1"/>
    <col min="6" max="6" width="19.140625" style="29" customWidth="1"/>
    <col min="7" max="7" width="60.28515625" style="150" customWidth="1"/>
    <col min="8" max="16384" width="11.42578125" style="1"/>
  </cols>
  <sheetData>
    <row r="1" spans="1:7" s="188" customFormat="1" ht="31.5" x14ac:dyDescent="0.25">
      <c r="A1" s="207" t="s">
        <v>1524</v>
      </c>
      <c r="B1" s="207"/>
      <c r="C1" s="183" t="s">
        <v>1525</v>
      </c>
      <c r="D1" s="184" t="s">
        <v>1526</v>
      </c>
      <c r="E1" s="184" t="s">
        <v>1527</v>
      </c>
      <c r="F1" s="184" t="s">
        <v>1528</v>
      </c>
      <c r="G1" s="184" t="s">
        <v>1527</v>
      </c>
    </row>
    <row r="2" spans="1:7" ht="250.5" customHeight="1" x14ac:dyDescent="0.25">
      <c r="A2" s="213" t="s">
        <v>9</v>
      </c>
      <c r="B2" s="164" t="s">
        <v>10</v>
      </c>
      <c r="C2" s="11" t="s">
        <v>1529</v>
      </c>
      <c r="D2" s="189" t="e">
        <f>GETPIVOTDATA("SUBCLASIFICACIÓN",#REF!,"CLASIFICACIÓN","TALENTO HUMANO ","SUBCLASIFICACIÓN","GESTIÓN DEL CONOCIMIENTO")</f>
        <v>#REF!</v>
      </c>
      <c r="E2" s="190" t="s">
        <v>1953</v>
      </c>
      <c r="F2" s="205" t="e">
        <f>GETPIVOTDATA("SUBCLASIFICACIÓN",#REF!,"CLASIFICACIÓN","TALENTO HUMANO ","SUBCLASIFICACIÓN","COMPETENCIA")+GETPIVOTDATA("SUBCLASIFICACIÓN",#REF!,"CLASIFICACIÓN","MANAGEMENT","SUBCLASIFICACIÓN","COMPETENCIA")</f>
        <v>#REF!</v>
      </c>
      <c r="G2" s="206" t="s">
        <v>1954</v>
      </c>
    </row>
    <row r="3" spans="1:7" ht="132.75" customHeight="1" x14ac:dyDescent="0.25">
      <c r="A3" s="214"/>
      <c r="B3" s="164" t="s">
        <v>26</v>
      </c>
      <c r="C3" s="14" t="s">
        <v>1532</v>
      </c>
      <c r="D3" s="189" t="e">
        <f>GETPIVOTDATA("SUBCLASIFICACIÓN",#REF!,"CLASIFICACIÓN","TALENTO HUMANO ","SUBCLASIFICACIÓN","GESTIÓN DEL CONOCIMIENTO")</f>
        <v>#REF!</v>
      </c>
      <c r="E3" s="190" t="s">
        <v>1533</v>
      </c>
      <c r="F3" s="196" t="e">
        <f>GETPIVOTDATA("SUBCLASIFICACIÓN",#REF!,"CLASIFICACIÓN","TALENTO HUMANO ","SUBCLASIFICACIÓN","GESTIÓN DEL CONOCIMIENTO")</f>
        <v>#REF!</v>
      </c>
      <c r="G3" s="195" t="s">
        <v>1955</v>
      </c>
    </row>
    <row r="4" spans="1:7" ht="135" x14ac:dyDescent="0.25">
      <c r="A4" s="214"/>
      <c r="B4" s="164" t="s">
        <v>173</v>
      </c>
      <c r="C4" s="11" t="s">
        <v>1535</v>
      </c>
      <c r="D4" s="189" t="e">
        <f>GETPIVOTDATA("SUBCLASIFICACIÓN",#REF!,"CLASIFICACIÓN","TALENTO HUMANO ","SUBCLASIFICACIÓN","DESARROLLO PROFESIONAL")</f>
        <v>#REF!</v>
      </c>
      <c r="E4" s="190" t="s">
        <v>1536</v>
      </c>
      <c r="F4" s="196" t="e">
        <f>GETPIVOTDATA("SUBCLASIFICACIÓN",#REF!,"CLASIFICACIÓN","TALENTO HUMANO ","SUBCLASIFICACIÓN","DESARROLLO PROFESIONAL")</f>
        <v>#REF!</v>
      </c>
      <c r="G4" s="195" t="s">
        <v>1537</v>
      </c>
    </row>
    <row r="5" spans="1:7" ht="120" x14ac:dyDescent="0.25">
      <c r="A5" s="214"/>
      <c r="B5" s="164" t="s">
        <v>1538</v>
      </c>
      <c r="C5" s="14" t="s">
        <v>1539</v>
      </c>
      <c r="D5" s="189" t="e">
        <f>GETPIVOTDATA("SUBCLASIFICACIÓN",#REF!,"CLASIFICACIÓN","TALENTO HUMANO ","SUBCLASIFICACIÓN","ROLES Y RESPONSABILIDADES")</f>
        <v>#REF!</v>
      </c>
      <c r="E5" s="191" t="s">
        <v>69</v>
      </c>
      <c r="F5" s="196" t="e">
        <f>GETPIVOTDATA("SUBCLASIFICACIÓN",#REF!,"CLASIFICACIÓN","TALENTO HUMANO ","SUBCLASIFICACIÓN","ROLES Y RESPONSABILIDADES")</f>
        <v>#REF!</v>
      </c>
      <c r="G5" s="195" t="s">
        <v>1956</v>
      </c>
    </row>
    <row r="6" spans="1:7" ht="256.5" customHeight="1" x14ac:dyDescent="0.25">
      <c r="A6" s="214"/>
      <c r="B6" s="164" t="s">
        <v>18</v>
      </c>
      <c r="C6" s="11" t="s">
        <v>1541</v>
      </c>
      <c r="D6" s="203" t="e">
        <f>GETPIVOTDATA("SUBCLASIFICACIÓN",#REF!,"CLASIFICACIÓN","TALENTO HUMANO ","SUBCLASIFICACIÓN","TOMA DE CONCIENCIA ")</f>
        <v>#REF!</v>
      </c>
      <c r="E6" s="204" t="s">
        <v>1957</v>
      </c>
      <c r="F6" s="196" t="e">
        <f>GETPIVOTDATA("SUBCLASIFICACIÓN",#REF!,"CLASIFICACIÓN","TALENTO HUMANO ","SUBCLASIFICACIÓN","TOMA DE CONCIENCIA ")</f>
        <v>#REF!</v>
      </c>
      <c r="G6" s="195" t="s">
        <v>1958</v>
      </c>
    </row>
    <row r="7" spans="1:7" ht="235.5" customHeight="1" x14ac:dyDescent="0.25">
      <c r="A7" s="214"/>
      <c r="B7" s="164" t="s">
        <v>41</v>
      </c>
      <c r="C7" s="14" t="s">
        <v>1544</v>
      </c>
      <c r="D7" s="203" t="e">
        <f>GETPIVOTDATA("SUBCLASIFICACIÓN",#REF!,"CLASIFICACIÓN","TALENTO HUMANO ","SUBCLASIFICACIÓN","CONTINUIDAD")</f>
        <v>#REF!</v>
      </c>
      <c r="E7" s="204" t="s">
        <v>1959</v>
      </c>
      <c r="F7" s="196">
        <v>0</v>
      </c>
      <c r="G7" s="189">
        <v>0</v>
      </c>
    </row>
    <row r="8" spans="1:7" ht="120.75" customHeight="1" x14ac:dyDescent="0.25">
      <c r="A8" s="214"/>
      <c r="B8" s="164" t="s">
        <v>145</v>
      </c>
      <c r="C8" s="14" t="s">
        <v>1546</v>
      </c>
      <c r="D8" s="189" t="e">
        <f>GETPIVOTDATA("SUBCLASIFICACIÓN",#REF!,"CLASIFICACIÓN","TALENTO HUMANO ","SUBCLASIFICACIÓN","APOYO DE TERCEROS")</f>
        <v>#REF!</v>
      </c>
      <c r="E8" s="192" t="s">
        <v>1960</v>
      </c>
      <c r="F8" s="189" t="e">
        <f>GETPIVOTDATA("SUBCLASIFICACIÓN",#REF!,"CLASIFICACIÓN","TALENTO HUMANO ","SUBCLASIFICACIÓN","APOYO DE TERCEROS")</f>
        <v>#REF!</v>
      </c>
      <c r="G8" s="195" t="s">
        <v>1961</v>
      </c>
    </row>
    <row r="9" spans="1:7" ht="216.75" customHeight="1" x14ac:dyDescent="0.25">
      <c r="A9" s="215"/>
      <c r="B9" s="164" t="s">
        <v>33</v>
      </c>
      <c r="C9" s="11" t="s">
        <v>1548</v>
      </c>
      <c r="D9" s="189" t="e">
        <f>GETPIVOTDATA("SUBCLASIFICACIÓN",#REF!,"CLASIFICACIÓN","TALENTO HUMANO ","SUBCLASIFICACIÓN","SUFICIENCIA")</f>
        <v>#REF!</v>
      </c>
      <c r="E9" s="190" t="s">
        <v>1962</v>
      </c>
      <c r="F9" s="196" t="e">
        <f>GETPIVOTDATA("SUBCLASIFICACIÓN",#REF!,"CLASIFICACIÓN","TALENTO HUMANO ","SUBCLASIFICACIÓN","SUFICIENCIA")</f>
        <v>#REF!</v>
      </c>
      <c r="G9" s="195" t="s">
        <v>1550</v>
      </c>
    </row>
    <row r="10" spans="1:7" ht="125.25" customHeight="1" x14ac:dyDescent="0.25">
      <c r="A10" s="210" t="s">
        <v>1551</v>
      </c>
      <c r="B10" s="165" t="s">
        <v>40</v>
      </c>
      <c r="C10" s="14" t="s">
        <v>1552</v>
      </c>
      <c r="D10" s="189" t="e">
        <f>GETPIVOTDATA("SUBCLASIFICACIÓN",#REF!,"CLASIFICACIÓN","EQUIPO, TECNOLOGÍA E INFRAESTRUCTURA","SUBCLASIFICACIÓN","HERRAMIENTAS")</f>
        <v>#REF!</v>
      </c>
      <c r="E10" s="190" t="s">
        <v>1963</v>
      </c>
      <c r="F10" s="189" t="e">
        <f>GETPIVOTDATA("SUBCLASIFICACIÓN",#REF!,"CLASIFICACIÓN","EQUIPO, TECNOLOGÍA E INFRAESTRUCTURA","SUBCLASIFICACIÓN","HERRAMIENTAS ")</f>
        <v>#REF!</v>
      </c>
      <c r="G10" s="195" t="s">
        <v>1554</v>
      </c>
    </row>
    <row r="11" spans="1:7" ht="54" customHeight="1" x14ac:dyDescent="0.25">
      <c r="A11" s="211"/>
      <c r="B11" s="165" t="s">
        <v>1555</v>
      </c>
      <c r="C11" s="14" t="s">
        <v>1556</v>
      </c>
      <c r="D11" s="189" t="e">
        <f>GETPIVOTDATA("SUBCLASIFICACIÓN",#REF!,"CLASIFICACIÓN","EQUIPO, TECNOLOGÍA E INFRAESTRUCTURA","SUBCLASIFICACIÓN","UBICACIÓN Y ACCESO")</f>
        <v>#REF!</v>
      </c>
      <c r="E11" s="190" t="s">
        <v>1557</v>
      </c>
      <c r="F11" s="189" t="e">
        <f>GETPIVOTDATA("SUBCLASIFICACIÓN",#REF!,"CLASIFICACIÓN","EQUIPO, TECNOLOGÍA E INFRAESTRUCTURA","SUBCLASIFICACIÓN","UBICACIÓN Y ACCESO")</f>
        <v>#REF!</v>
      </c>
      <c r="G11" s="198" t="s">
        <v>541</v>
      </c>
    </row>
    <row r="12" spans="1:7" ht="177.75" customHeight="1" x14ac:dyDescent="0.25">
      <c r="A12" s="211"/>
      <c r="B12" s="165" t="s">
        <v>13</v>
      </c>
      <c r="C12" s="14" t="s">
        <v>1558</v>
      </c>
      <c r="D12" s="189" t="e">
        <f>GETPIVOTDATA("SUBCLASIFICACIÓN",#REF!,"CLASIFICACIÓN","EQUIPO, TECNOLOGÍA E INFRAESTRUCTURA","SUBCLASIFICACIÓN","INSTALACIONES")</f>
        <v>#REF!</v>
      </c>
      <c r="E12" s="190" t="s">
        <v>1964</v>
      </c>
      <c r="F12" s="189" t="e">
        <f>GETPIVOTDATA("SUBCLASIFICACIÓN",#REF!,"CLASIFICACIÓN","EQUIPO, TECNOLOGÍA E INFRAESTRUCTURA","SUBCLASIFICACIÓN","INSTALACIONES")</f>
        <v>#REF!</v>
      </c>
      <c r="G12" s="195" t="s">
        <v>1560</v>
      </c>
    </row>
    <row r="13" spans="1:7" ht="81" customHeight="1" x14ac:dyDescent="0.25">
      <c r="A13" s="211"/>
      <c r="B13" s="165" t="s">
        <v>1561</v>
      </c>
      <c r="C13" s="14" t="s">
        <v>1562</v>
      </c>
      <c r="D13" s="189" t="e">
        <f>GETPIVOTDATA("SUBCLASIFICACIÓN",#REF!,"CLASIFICACIÓN","EQUIPO, TECNOLOGÍA E INFRAESTRUCTURA","SUBCLASIFICACIÓN","REDES")</f>
        <v>#REF!</v>
      </c>
      <c r="E13" s="200" t="s">
        <v>1965</v>
      </c>
      <c r="F13" s="189" t="e">
        <f>GETPIVOTDATA("SUBCLASIFICACIÓN",#REF!,"CLASIFICACIÓN","EQUIPO, TECNOLOGÍA E INFRAESTRUCTURA","SUBCLASIFICACIÓN","REDES")</f>
        <v>#REF!</v>
      </c>
      <c r="G13" s="199" t="s">
        <v>455</v>
      </c>
    </row>
    <row r="14" spans="1:7" ht="78" hidden="1" customHeight="1" x14ac:dyDescent="0.25">
      <c r="A14" s="211"/>
      <c r="B14" s="6" t="s">
        <v>1563</v>
      </c>
      <c r="C14" s="14" t="s">
        <v>1564</v>
      </c>
      <c r="D14" s="12" t="e">
        <f>+GETPIVOTDATA("SUBCLASIFICACION",'T.D. DEBLD'!$A$3,"CLASIFICACION","EQUIPO, TECNOLOGÍA E INFRAESTRUCTURA","SUBCLASIFICACION","PLATAFORMAS WEB ")</f>
        <v>#REF!</v>
      </c>
      <c r="E14" s="152"/>
      <c r="F14" s="12" t="e">
        <f>+GETPIVOTDATA("SUBCLASIFICACION",'T.D. FORTLZ'!$A$3,"CLASIFICACION","EQUIPO, TECNOLOGÍA E INFRAESTRUCTURA","SUBCLASIFICACION","PLATAFORMAS WEB")</f>
        <v>#REF!</v>
      </c>
      <c r="G14" s="155" t="s">
        <v>1565</v>
      </c>
    </row>
    <row r="15" spans="1:7" ht="74.25" customHeight="1" x14ac:dyDescent="0.25">
      <c r="A15" s="211"/>
      <c r="B15" s="165" t="s">
        <v>1566</v>
      </c>
      <c r="C15" s="14" t="s">
        <v>1567</v>
      </c>
      <c r="D15" s="189" t="e">
        <f>GETPIVOTDATA("SUBCLASIFICACIÓN",#REF!,"CLASIFICACIÓN","EQUIPO, TECNOLOGÍA E INFRAESTRUCTURA","SUBCLASIFICACIÓN","MEDIOS DE TRANSPORTE")</f>
        <v>#REF!</v>
      </c>
      <c r="E15" s="192" t="s">
        <v>139</v>
      </c>
      <c r="F15" s="189">
        <v>0</v>
      </c>
      <c r="G15" s="189">
        <v>0</v>
      </c>
    </row>
    <row r="16" spans="1:7" ht="240" customHeight="1" x14ac:dyDescent="0.25">
      <c r="A16" s="211"/>
      <c r="B16" s="165" t="s">
        <v>32</v>
      </c>
      <c r="C16" s="14" t="s">
        <v>1568</v>
      </c>
      <c r="D16" s="189" t="e">
        <f>GETPIVOTDATA("SUBCLASIFICACIÓN",#REF!,"CLASIFICACIÓN","EQUIPO, TECNOLOGÍA E INFRAESTRUCTURA","SUBCLASIFICACIÓN","SOFTWARE Y PLATAFORMAS")</f>
        <v>#REF!</v>
      </c>
      <c r="E16" s="190" t="s">
        <v>1966</v>
      </c>
      <c r="F16" s="203" t="e">
        <f>GETPIVOTDATA("SUBCLASIFICACIÓN",#REF!,"CLASIFICACIÓN","EQUIPO, TECNOLOGÍA E INFRAESTRUCTURA","SUBCLASIFICACIÓN","SOFTWARE Y PLATAFORMAS")</f>
        <v>#REF!</v>
      </c>
      <c r="G16" s="206" t="s">
        <v>1570</v>
      </c>
    </row>
    <row r="17" spans="1:7" ht="57" customHeight="1" x14ac:dyDescent="0.25">
      <c r="A17" s="211"/>
      <c r="B17" s="165" t="s">
        <v>1571</v>
      </c>
      <c r="C17" s="14" t="s">
        <v>1572</v>
      </c>
      <c r="D17" s="189">
        <v>0</v>
      </c>
      <c r="E17" s="193">
        <v>0</v>
      </c>
      <c r="F17" s="189">
        <v>0</v>
      </c>
      <c r="G17" s="196">
        <v>0</v>
      </c>
    </row>
    <row r="18" spans="1:7" ht="60.75" customHeight="1" x14ac:dyDescent="0.25">
      <c r="A18" s="212"/>
      <c r="B18" s="166" t="s">
        <v>1573</v>
      </c>
      <c r="C18" s="14" t="s">
        <v>1574</v>
      </c>
      <c r="D18" s="189" t="e">
        <f>GETPIVOTDATA("SUBCLASIFICACIÓN",#REF!,"CLASIFICACIÓN","EQUIPO, TECNOLOGÍA E INFRAESTRUCTURA","SUBCLASIFICACIÓN","OBSOLESCENCIA ")</f>
        <v>#REF!</v>
      </c>
      <c r="E18" s="190" t="s">
        <v>1575</v>
      </c>
      <c r="F18" s="189">
        <v>0</v>
      </c>
      <c r="G18" s="196">
        <v>0</v>
      </c>
    </row>
    <row r="19" spans="1:7" ht="86.25" customHeight="1" x14ac:dyDescent="0.25">
      <c r="A19" s="169" t="s">
        <v>1576</v>
      </c>
      <c r="B19" s="170" t="s">
        <v>1577</v>
      </c>
      <c r="C19" s="14" t="s">
        <v>1578</v>
      </c>
      <c r="D19" s="189" t="e">
        <f>GETPIVOTDATA("SUBCLASIFICACIÓN",#REF!,"CLASIFICACIÓN","INSUMOS","SUBCLASIFICACIÓN","CONSUMO  ")</f>
        <v>#REF!</v>
      </c>
      <c r="E19" s="194" t="s">
        <v>102</v>
      </c>
      <c r="F19" s="189">
        <v>0</v>
      </c>
      <c r="G19" s="189">
        <v>0</v>
      </c>
    </row>
    <row r="20" spans="1:7" ht="227.25" customHeight="1" x14ac:dyDescent="0.25">
      <c r="A20" s="171" t="s">
        <v>1579</v>
      </c>
      <c r="B20" s="172" t="s">
        <v>14</v>
      </c>
      <c r="C20" s="14" t="s">
        <v>1580</v>
      </c>
      <c r="D20" s="189" t="e">
        <f>GETPIVOTDATA("SUBCLASIFICACIÓN",#REF!,"CLASIFICACIÓN","MÉTODOS","SUBCLASIFICACIÓN","COMUNICACIÓN")+GETPIVOTDATA("SUBCLASIFICACIÓN",#REF!,"CLASIFICACIÓN","MÉTODOS","SUBCLASIFICACIÓN","COMUNICACIÓN ")</f>
        <v>#REF!</v>
      </c>
      <c r="E20" s="190" t="s">
        <v>1967</v>
      </c>
      <c r="F20" s="205" t="e">
        <f>GETPIVOTDATA("SUBCLASIFICACIÓN",#REF!,"CLASIFICACIÓN","MÉTODOS","SUBCLASIFICACIÓN","COMUNICACIÓN")</f>
        <v>#REF!</v>
      </c>
      <c r="G20" s="206" t="s">
        <v>1968</v>
      </c>
    </row>
    <row r="21" spans="1:7" ht="134.25" customHeight="1" x14ac:dyDescent="0.25">
      <c r="A21" s="173"/>
      <c r="B21" s="172" t="s">
        <v>1583</v>
      </c>
      <c r="C21" s="14" t="s">
        <v>1584</v>
      </c>
      <c r="D21" s="189" t="e">
        <f>GETPIVOTDATA("SUBCLASIFICACIÓN",#REF!,"CLASIFICACIÓN","MÉTODOS","SUBCLASIFICACIÓN","DOCUMENTACIÓN")</f>
        <v>#REF!</v>
      </c>
      <c r="E21" s="195" t="s">
        <v>1969</v>
      </c>
      <c r="F21" s="189" t="e">
        <f>GETPIVOTDATA("SUBCLASIFICACIÓN",#REF!,"CLASIFICACIÓN","MÉTODOS","SUBCLASIFICACIÓN","DOCUMENTACIÓN")</f>
        <v>#REF!</v>
      </c>
      <c r="G21" s="195" t="s">
        <v>1970</v>
      </c>
    </row>
    <row r="22" spans="1:7" ht="237.75" customHeight="1" x14ac:dyDescent="0.25">
      <c r="A22" s="173"/>
      <c r="B22" s="172" t="s">
        <v>1587</v>
      </c>
      <c r="C22" s="14" t="s">
        <v>1588</v>
      </c>
      <c r="D22" s="203" t="e">
        <f>GETPIVOTDATA("SUBCLASIFICACIÓN",#REF!,"CLASIFICACIÓN","MÉTODOS","SUBCLASIFICACIÓN","INFORMACIÓN")</f>
        <v>#REF!</v>
      </c>
      <c r="E22" s="204" t="s">
        <v>1971</v>
      </c>
      <c r="F22" s="189" t="e">
        <f>GETPIVOTDATA("SUBCLASIFICACIÓN",#REF!,"CLASIFICACIÓN","MÉTODOS","SUBCLASIFICACIÓN","INFORMACIÓN")</f>
        <v>#REF!</v>
      </c>
      <c r="G22" s="195" t="s">
        <v>1590</v>
      </c>
    </row>
    <row r="23" spans="1:7" ht="63.75" customHeight="1" x14ac:dyDescent="0.25">
      <c r="A23" s="173"/>
      <c r="B23" s="172" t="s">
        <v>1591</v>
      </c>
      <c r="C23" s="14" t="s">
        <v>1592</v>
      </c>
      <c r="D23" s="189" t="e">
        <f>GETPIVOTDATA("SUBCLASIFICACIÓN",#REF!,"CLASIFICACIÓN","MÉTODOS","SUBCLASIFICACIÓN","GESTIÓN DEL CAMBIO")</f>
        <v>#REF!</v>
      </c>
      <c r="E23" s="190" t="s">
        <v>1593</v>
      </c>
      <c r="F23" s="189" t="e">
        <f>GETPIVOTDATA("SUBCLASIFICACIÓN",#REF!,"CLASIFICACIÓN","MÉTODOS","SUBCLASIFICACIÓN","GESTIÓN DEL CAMBIO")</f>
        <v>#REF!</v>
      </c>
      <c r="G23" s="200" t="s">
        <v>1972</v>
      </c>
    </row>
    <row r="24" spans="1:7" ht="195" customHeight="1" x14ac:dyDescent="0.25">
      <c r="A24" s="173"/>
      <c r="B24" s="172" t="s">
        <v>22</v>
      </c>
      <c r="C24" s="14" t="s">
        <v>1594</v>
      </c>
      <c r="D24" s="189" t="e">
        <f>GETPIVOTDATA("SUBCLASIFICACIÓN",#REF!,"CLASIFICACIÓN","MÉTODOS","SUBCLASIFICACIÓN","TIEMPOS")</f>
        <v>#REF!</v>
      </c>
      <c r="E24" s="190" t="s">
        <v>1973</v>
      </c>
      <c r="F24" s="189" t="e">
        <f>GETPIVOTDATA("SUBCLASIFICACIÓN",#REF!,"CLASIFICACIÓN","MÉTODOS","SUBCLASIFICACIÓN","TIEMPOS")</f>
        <v>#REF!</v>
      </c>
      <c r="G24" s="195" t="s">
        <v>1596</v>
      </c>
    </row>
    <row r="25" spans="1:7" ht="120" customHeight="1" x14ac:dyDescent="0.25">
      <c r="A25" s="173"/>
      <c r="B25" s="172" t="s">
        <v>70</v>
      </c>
      <c r="C25" s="145" t="s">
        <v>1597</v>
      </c>
      <c r="D25" s="189" t="e">
        <f>GETPIVOTDATA("SUBCLASIFICACIÓN",#REF!,"CLASIFICACIÓN","MÉTODOS","SUBCLASIFICACIÓN","NORMATIVIDAD")</f>
        <v>#REF!</v>
      </c>
      <c r="E25" s="190" t="s">
        <v>1974</v>
      </c>
      <c r="F25" s="189" t="e">
        <f>GETPIVOTDATA("SUBCLASIFICACIÓN",#REF!,"CLASIFICACIÓN","MÉTODOS","SUBCLASIFICACIÓN","NORMATIVIDAD")</f>
        <v>#REF!</v>
      </c>
      <c r="G25" s="195" t="s">
        <v>1599</v>
      </c>
    </row>
    <row r="26" spans="1:7" ht="120.75" customHeight="1" x14ac:dyDescent="0.25">
      <c r="A26" s="173"/>
      <c r="B26" s="172" t="s">
        <v>68</v>
      </c>
      <c r="C26" s="14" t="s">
        <v>1600</v>
      </c>
      <c r="D26" s="189" t="e">
        <f>GETPIVOTDATA("SUBCLASIFICACIÓN",#REF!,"CLASIFICACIÓN","MÉTODOS","SUBCLASIFICACIÓN","SISTEMATIZACIÓN ")</f>
        <v>#REF!</v>
      </c>
      <c r="E26" s="190" t="s">
        <v>1975</v>
      </c>
      <c r="F26" s="189" t="e">
        <f>GETPIVOTDATA("SUBCLASIFICACIÓN",#REF!,"CLASIFICACIÓN","MÉTODOS","SUBCLASIFICACIÓN","SISTEMATIZACIÓN ")</f>
        <v>#REF!</v>
      </c>
      <c r="G26" s="195" t="s">
        <v>1976</v>
      </c>
    </row>
    <row r="27" spans="1:7" ht="43.5" customHeight="1" x14ac:dyDescent="0.25">
      <c r="A27" s="173"/>
      <c r="B27" s="172" t="s">
        <v>1603</v>
      </c>
      <c r="C27" s="14" t="s">
        <v>1604</v>
      </c>
      <c r="D27" s="189" t="e">
        <f>GETPIVOTDATA("SUBCLASIFICACIÓN",#REF!,"CLASIFICACIÓN","MÉTODOS","SUBCLASIFICACIÓN","TRANSPARENCIA")</f>
        <v>#REF!</v>
      </c>
      <c r="E27" s="194" t="s">
        <v>481</v>
      </c>
      <c r="F27" s="189" t="e">
        <f>GETPIVOTDATA("SUBCLASIFICACIÓN",#REF!,"CLASIFICACIÓN","MÉTODOS","SUBCLASIFICACIÓN","TRANSPARENCIA")</f>
        <v>#REF!</v>
      </c>
      <c r="G27" s="200" t="s">
        <v>237</v>
      </c>
    </row>
    <row r="28" spans="1:7" ht="72.75" customHeight="1" x14ac:dyDescent="0.25">
      <c r="A28" s="173"/>
      <c r="B28" s="172" t="s">
        <v>1606</v>
      </c>
      <c r="C28" s="14" t="s">
        <v>1607</v>
      </c>
      <c r="D28" s="189" t="e">
        <f>GETPIVOTDATA("SUBCLASIFICACIÓN",#REF!,"CLASIFICACIÓN","MÉTODOS","SUBCLASIFICACIÓN","IMPLEMENTACIÓN")</f>
        <v>#REF!</v>
      </c>
      <c r="E28" s="195" t="s">
        <v>1608</v>
      </c>
      <c r="F28" s="189" t="e">
        <f>GETPIVOTDATA("SUBCLASIFICACIÓN",#REF!,"CLASIFICACIÓN","MÉTODOS","SUBCLASIFICACIÓN","IMPLEMENTACIÓN")</f>
        <v>#REF!</v>
      </c>
      <c r="G28" s="195" t="s">
        <v>1609</v>
      </c>
    </row>
    <row r="29" spans="1:7" ht="160.5" customHeight="1" x14ac:dyDescent="0.25">
      <c r="A29" s="173"/>
      <c r="B29" s="172" t="s">
        <v>17</v>
      </c>
      <c r="C29" s="14" t="s">
        <v>1610</v>
      </c>
      <c r="D29" s="189" t="e">
        <f>GETPIVOTDATA("SUBCLASIFICACIÓN",#REF!,"CLASIFICACIÓN","MEDICIÓN ","SUBCLASIFICACIÓN","SEGUIMIENTO Y CONTROL ")+GETPIVOTDATA("SUBCLASIFICACIÓN",#REF!,"CLASIFICACIÓN","MÉTODOS","SUBCLASIFICACIÓN","SEGUIMIENTO Y CONTROL ")</f>
        <v>#REF!</v>
      </c>
      <c r="E29" s="190" t="s">
        <v>1977</v>
      </c>
      <c r="F29" s="189" t="e">
        <f>GETPIVOTDATA("SUBCLASIFICACIÓN",#REF!,"CLASIFICACIÓN","MEDICIÓN ","SUBCLASIFICACIÓN","SEGUIMIENTO Y CONTROL ")</f>
        <v>#REF!</v>
      </c>
      <c r="G29" s="195" t="s">
        <v>833</v>
      </c>
    </row>
    <row r="30" spans="1:7" ht="98.25" customHeight="1" x14ac:dyDescent="0.25">
      <c r="A30" s="173"/>
      <c r="B30" s="172" t="s">
        <v>107</v>
      </c>
      <c r="C30" s="14" t="s">
        <v>1613</v>
      </c>
      <c r="D30" s="189" t="e">
        <f>GETPIVOTDATA("SUBCLASIFICACIÓN",#REF!,"CLASIFICACIÓN","MÉTODOS","SUBCLASIFICACIÓN","PROCEDIMIENTOS")</f>
        <v>#REF!</v>
      </c>
      <c r="E30" s="190" t="s">
        <v>1614</v>
      </c>
      <c r="F30" s="189" t="e">
        <f>GETPIVOTDATA("SUBCLASIFICACIÓN",#REF!,"CLASIFICACIÓN","MÉTODOS","SUBCLASIFICACIÓN","PROCEDIMIENTOS")</f>
        <v>#REF!</v>
      </c>
      <c r="G30" s="195" t="s">
        <v>1615</v>
      </c>
    </row>
    <row r="31" spans="1:7" ht="210.75" customHeight="1" x14ac:dyDescent="0.25">
      <c r="A31" s="173"/>
      <c r="B31" s="174" t="s">
        <v>1616</v>
      </c>
      <c r="C31" s="14" t="s">
        <v>1617</v>
      </c>
      <c r="D31" s="189" t="e">
        <f>GETPIVOTDATA("SUBCLASIFICACIÓN",#REF!,"CLASIFICACIÓN","MÉTODOS","SUBCLASIFICACIÓN","ARTICULACIÓN DE PROCESOS")</f>
        <v>#REF!</v>
      </c>
      <c r="E31" s="190" t="s">
        <v>1978</v>
      </c>
      <c r="F31" s="189" t="e">
        <f>GETPIVOTDATA("SUBCLASIFICACIÓN",#REF!,"CLASIFICACIÓN","MÉTODOS","SUBCLASIFICACIÓN","ARTICULACIÓN DE PROCESOS")</f>
        <v>#REF!</v>
      </c>
      <c r="G31" s="195" t="s">
        <v>1619</v>
      </c>
    </row>
    <row r="32" spans="1:7" ht="105" x14ac:dyDescent="0.25">
      <c r="A32" s="167" t="s">
        <v>16</v>
      </c>
      <c r="B32" s="168" t="s">
        <v>144</v>
      </c>
      <c r="C32" s="14" t="s">
        <v>1620</v>
      </c>
      <c r="D32" s="189" t="e">
        <f>GETPIVOTDATA("SUBCLASIFICACIÓN",#REF!,"CLASIFICACIÓN","MEDICIÓN ","SUBCLASIFICACIÓN","INDICADORES")</f>
        <v>#REF!</v>
      </c>
      <c r="E32" s="190" t="s">
        <v>1979</v>
      </c>
      <c r="F32" s="189" t="e">
        <f>GETPIVOTDATA("SUBCLASIFICACIÓN",#REF!,"CLASIFICACIÓN","MEDICIÓN ","SUBCLASIFICACIÓN","INDICADORES")</f>
        <v>#REF!</v>
      </c>
      <c r="G32" s="195" t="s">
        <v>1980</v>
      </c>
    </row>
    <row r="33" spans="1:7" ht="60.75" customHeight="1" x14ac:dyDescent="0.25">
      <c r="A33" s="175"/>
      <c r="B33" s="168" t="s">
        <v>1623</v>
      </c>
      <c r="C33" s="14" t="s">
        <v>1624</v>
      </c>
      <c r="D33" s="189" t="e">
        <f>GETPIVOTDATA("SUBCLASIFICACIÓN",#REF!,"CLASIFICACIÓN","MEDICIÓN ","SUBCLASIFICACIÓN","RESULTADOS")</f>
        <v>#REF!</v>
      </c>
      <c r="E33" s="190" t="s">
        <v>1625</v>
      </c>
      <c r="F33" s="189" t="e">
        <f>GETPIVOTDATA("SUBCLASIFICACIÓN",#REF!,"CLASIFICACIÓN","MEDICIÓN ","SUBCLASIFICACIÓN","RESULTADOS")</f>
        <v>#REF!</v>
      </c>
      <c r="G33" s="195" t="s">
        <v>1626</v>
      </c>
    </row>
    <row r="34" spans="1:7" ht="80.25" customHeight="1" x14ac:dyDescent="0.25">
      <c r="A34" s="175"/>
      <c r="B34" s="168" t="s">
        <v>1627</v>
      </c>
      <c r="C34" s="14" t="s">
        <v>1628</v>
      </c>
      <c r="D34" s="189">
        <v>0</v>
      </c>
      <c r="E34" s="193">
        <v>0</v>
      </c>
      <c r="F34" s="189" t="e">
        <f>GETPIVOTDATA("SUBCLASIFICACIÓN",#REF!,"CLASIFICACIÓN","MEDICIÓN ","SUBCLASIFICACIÓN","TRAZABILIDAD")</f>
        <v>#REF!</v>
      </c>
      <c r="G34" s="195" t="s">
        <v>246</v>
      </c>
    </row>
    <row r="35" spans="1:7" ht="120" x14ac:dyDescent="0.25">
      <c r="A35" s="176" t="s">
        <v>42</v>
      </c>
      <c r="B35" s="177" t="s">
        <v>43</v>
      </c>
      <c r="C35" s="14" t="s">
        <v>1629</v>
      </c>
      <c r="D35" s="189" t="e">
        <f>GETPIVOTDATA("SUBCLASIFICACIÓN",#REF!,"CLASIFICACIÓN","MONEDA","SUBCLASIFICACIÓN","PRESUPUESTO")</f>
        <v>#REF!</v>
      </c>
      <c r="E35" s="190" t="s">
        <v>1981</v>
      </c>
      <c r="F35" s="189" t="e">
        <f>GETPIVOTDATA("SUBCLASIFICACIÓN",#REF!,"CLASIFICACIÓN","MONEDA","SUBCLASIFICACIÓN","PRESUPUESTO")</f>
        <v>#REF!</v>
      </c>
      <c r="G35" s="195" t="s">
        <v>1631</v>
      </c>
    </row>
    <row r="36" spans="1:7" ht="75" x14ac:dyDescent="0.25">
      <c r="A36" s="178"/>
      <c r="B36" s="177" t="s">
        <v>1632</v>
      </c>
      <c r="C36" s="14" t="s">
        <v>1633</v>
      </c>
      <c r="D36" s="189" t="e">
        <f>GETPIVOTDATA("SUBCLASIFICACIÓN",#REF!,"CLASIFICACIÓN","MONEDA","SUBCLASIFICACIÓN","LIQUIDEZ")</f>
        <v>#REF!</v>
      </c>
      <c r="E36" s="190" t="s">
        <v>1634</v>
      </c>
      <c r="F36" s="189" t="e">
        <f>GETPIVOTDATA("SUBCLASIFICACIÓN",#REF!,"CLASIFICACIÓN","MONEDA","SUBCLASIFICACIÓN","LIQUIDEZ")</f>
        <v>#REF!</v>
      </c>
      <c r="G36" s="195" t="s">
        <v>1635</v>
      </c>
    </row>
    <row r="37" spans="1:7" ht="138" customHeight="1" x14ac:dyDescent="0.25">
      <c r="A37" s="9" t="s">
        <v>207</v>
      </c>
      <c r="B37" s="21" t="s">
        <v>293</v>
      </c>
      <c r="C37" s="14" t="s">
        <v>1636</v>
      </c>
      <c r="D37" s="189" t="e">
        <f>GETPIVOTDATA("SUBCLASIFICACIÓN",#REF!,"CLASIFICACIÓN","MEDIO (CONDICIONES DE TRABAJO)","SUBCLASIFICACIÓN","BIENESTAR LABORAL ")</f>
        <v>#REF!</v>
      </c>
      <c r="E37" s="194" t="s">
        <v>191</v>
      </c>
      <c r="F37" s="189" t="e">
        <f>GETPIVOTDATA("SUBCLASIFICACIÓN",#REF!,"CLASIFICACIÓN","MEDIO (CONDICIONES DE TRABAJO)","SUBCLASIFICACIÓN","BIENESTAR LABORAL")</f>
        <v>#REF!</v>
      </c>
      <c r="G37" s="200" t="s">
        <v>1982</v>
      </c>
    </row>
    <row r="38" spans="1:7" ht="150.75" customHeight="1" x14ac:dyDescent="0.25">
      <c r="A38" s="179" t="s">
        <v>1638</v>
      </c>
      <c r="B38" s="180" t="s">
        <v>1639</v>
      </c>
      <c r="C38" s="14" t="s">
        <v>1640</v>
      </c>
      <c r="D38" s="196" t="e">
        <f>GETPIVOTDATA("SUBCLASIFICACIÓN",#REF!,"CLASIFICACIÓN","MANAGEMENT","SUBCLASIFICACIÓN","DIRECCIONAMIENTO ESTRATÉGICO")</f>
        <v>#REF!</v>
      </c>
      <c r="E38" s="190" t="s">
        <v>1983</v>
      </c>
      <c r="F38" s="189" t="e">
        <f>GETPIVOTDATA("SUBCLASIFICACIÓN",#REF!,"CLASIFICACIÓN","MANAGEMENT","SUBCLASIFICACIÓN","DIRECCIONAMIENTO ESTRATÉGICO")</f>
        <v>#REF!</v>
      </c>
      <c r="G38" s="195" t="s">
        <v>1642</v>
      </c>
    </row>
    <row r="39" spans="1:7" ht="160.5" customHeight="1" x14ac:dyDescent="0.25">
      <c r="A39" s="181"/>
      <c r="B39" s="180" t="s">
        <v>58</v>
      </c>
      <c r="C39" s="14" t="s">
        <v>1643</v>
      </c>
      <c r="D39" s="189" t="e">
        <f>GETPIVOTDATA("SUBCLASIFICACIÓN",#REF!,"CLASIFICACIÓN","MANAGEMENT","SUBCLASIFICACIÓN","PLANIFICACIÓN ")</f>
        <v>#REF!</v>
      </c>
      <c r="E39" s="190" t="s">
        <v>1984</v>
      </c>
      <c r="F39" s="189" t="e">
        <f>GETPIVOTDATA("SUBCLASIFICACIÓN",#REF!,"CLASIFICACIÓN","MANAGEMENT","SUBCLASIFICACIÓN","PLANIFICACIÓN ")</f>
        <v>#REF!</v>
      </c>
      <c r="G39" s="195" t="s">
        <v>1985</v>
      </c>
    </row>
    <row r="40" spans="1:7" ht="69.75" customHeight="1" x14ac:dyDescent="0.25">
      <c r="A40" s="181"/>
      <c r="B40" s="182" t="s">
        <v>45</v>
      </c>
      <c r="C40" s="14" t="s">
        <v>1646</v>
      </c>
      <c r="D40" s="189" t="e">
        <f>GETPIVOTDATA("SUBCLASIFICACIÓN",#REF!,"CLASIFICACIÓN","MANAGEMENT","SUBCLASIFICACIÓN","LIDERAZGO")</f>
        <v>#REF!</v>
      </c>
      <c r="E40" s="190" t="s">
        <v>34</v>
      </c>
      <c r="F40" s="189" t="e">
        <f>GETPIVOTDATA("SUBCLASIFICACIÓN",#REF!,"CLASIFICACIÓN","MANAGEMENT","SUBCLASIFICACIÓN","LIDERAZGO")</f>
        <v>#REF!</v>
      </c>
      <c r="G40" s="195" t="s">
        <v>1647</v>
      </c>
    </row>
    <row r="41" spans="1:7" ht="102" customHeight="1" x14ac:dyDescent="0.25">
      <c r="A41" s="181"/>
      <c r="B41" s="182" t="s">
        <v>174</v>
      </c>
      <c r="C41" s="14" t="s">
        <v>1648</v>
      </c>
      <c r="D41" s="189">
        <v>0</v>
      </c>
      <c r="E41" s="197">
        <v>0</v>
      </c>
      <c r="F41" s="189">
        <v>0</v>
      </c>
      <c r="G41" s="196">
        <v>0</v>
      </c>
    </row>
    <row r="42" spans="1:7" ht="90" x14ac:dyDescent="0.25">
      <c r="A42" s="181"/>
      <c r="B42" s="180" t="s">
        <v>1649</v>
      </c>
      <c r="C42" s="14" t="s">
        <v>1650</v>
      </c>
      <c r="D42" s="189" t="e">
        <f>GETPIVOTDATA("SUBCLASIFICACIÓN",#REF!,"CLASIFICACIÓN","MANAGEMENT","SUBCLASIFICACIÓN","RELACIONAMIENTO")</f>
        <v>#REF!</v>
      </c>
      <c r="E42" s="195" t="s">
        <v>1651</v>
      </c>
      <c r="F42" s="189" t="e">
        <f>GETPIVOTDATA("SUBCLASIFICACIÓN",#REF!,"CLASIFICACIÓN","MANAGEMENT","SUBCLASIFICACIÓN","RELACIONAMIENTO")</f>
        <v>#REF!</v>
      </c>
      <c r="G42" s="195" t="s">
        <v>1652</v>
      </c>
    </row>
    <row r="43" spans="1:7" ht="85.5" customHeight="1" x14ac:dyDescent="0.25">
      <c r="A43" s="181"/>
      <c r="B43" s="180" t="s">
        <v>1653</v>
      </c>
      <c r="C43" s="14" t="s">
        <v>1654</v>
      </c>
      <c r="D43" s="189" t="e">
        <f>GETPIVOTDATA("SUBCLASIFICACIÓN",#REF!,"CLASIFICACIÓN","MANAGEMENT","SUBCLASIFICACIÓN","POSICIONAMIENTO")</f>
        <v>#REF!</v>
      </c>
      <c r="E43" s="198" t="s">
        <v>170</v>
      </c>
      <c r="F43" s="189" t="e">
        <f>GETPIVOTDATA("SUBCLASIFICACIÓN",#REF!,"CLASIFICACIÓN","MANAGEMENT","SUBCLASIFICACIÓN","POSICIONAMIENTO")</f>
        <v>#REF!</v>
      </c>
      <c r="G43" s="195" t="s">
        <v>1655</v>
      </c>
    </row>
    <row r="44" spans="1:7" ht="54.75" customHeight="1" x14ac:dyDescent="0.25">
      <c r="A44" s="181"/>
      <c r="B44" s="180" t="s">
        <v>1656</v>
      </c>
      <c r="C44" s="14" t="s">
        <v>1657</v>
      </c>
      <c r="D44" s="189">
        <v>0</v>
      </c>
      <c r="E44" s="197">
        <v>0</v>
      </c>
      <c r="F44" s="189">
        <v>0</v>
      </c>
      <c r="G44" s="189">
        <v>0</v>
      </c>
    </row>
    <row r="45" spans="1:7" s="187" customFormat="1" ht="32.25" customHeight="1" x14ac:dyDescent="0.25">
      <c r="A45" s="208" t="s">
        <v>1658</v>
      </c>
      <c r="B45" s="209"/>
      <c r="C45" s="183" t="s">
        <v>1525</v>
      </c>
      <c r="D45" s="184" t="s">
        <v>1659</v>
      </c>
      <c r="E45" s="185" t="s">
        <v>1527</v>
      </c>
      <c r="F45" s="184" t="s">
        <v>1660</v>
      </c>
      <c r="G45" s="186" t="s">
        <v>1527</v>
      </c>
    </row>
    <row r="46" spans="1:7" ht="125.25" customHeight="1" x14ac:dyDescent="0.25">
      <c r="A46" s="25" t="s">
        <v>1661</v>
      </c>
      <c r="B46" s="10" t="s">
        <v>1662</v>
      </c>
      <c r="C46" s="14" t="s">
        <v>1663</v>
      </c>
      <c r="D46" s="189" t="e">
        <f>GETPIVOTDATA("SUBCLASIFICACIÓN",#REF!,"CLASIFICACIÓN","POLÍTICO","SUBCLASIFICACIÓN","POLÍTICAS")</f>
        <v>#REF!</v>
      </c>
      <c r="E46" s="195" t="s">
        <v>1986</v>
      </c>
      <c r="F46" s="189" t="e">
        <f>GETPIVOTDATA("SUBCLASIFICACIÓN",#REF!,"CLASIFICACIÓN","POLÍTICO","SUBCLASIFICACIÓN","POLÍTICAS")</f>
        <v>#REF!</v>
      </c>
      <c r="G46" s="195" t="s">
        <v>1987</v>
      </c>
    </row>
    <row r="47" spans="1:7" ht="37.5" customHeight="1" x14ac:dyDescent="0.25">
      <c r="A47" s="25"/>
      <c r="B47" s="6" t="s">
        <v>1666</v>
      </c>
      <c r="C47" s="14" t="s">
        <v>1667</v>
      </c>
      <c r="D47" s="189" t="e">
        <f>GETPIVOTDATA("SUBCLASIFICACIÓN",#REF!,"CLASIFICACIÓN","POLÍTICO","SUBCLASIFICACIÓN","INFLUENCIA ")</f>
        <v>#REF!</v>
      </c>
      <c r="E47" s="190" t="s">
        <v>237</v>
      </c>
      <c r="F47" s="189" t="e">
        <f>GETPIVOTDATA("SUBCLASIFICACIÓN",#REF!,"CLASIFICACIÓN","POLÍTICO","SUBCLASIFICACIÓN","INFLUENCIA ")</f>
        <v>#REF!</v>
      </c>
      <c r="G47" s="195" t="s">
        <v>1668</v>
      </c>
    </row>
    <row r="48" spans="1:7" ht="75" x14ac:dyDescent="0.25">
      <c r="A48" s="16"/>
      <c r="B48" s="6" t="s">
        <v>487</v>
      </c>
      <c r="C48" s="14" t="s">
        <v>1669</v>
      </c>
      <c r="D48" s="189" t="e">
        <f>GETPIVOTDATA("SUBCLASIFICACIÓN",#REF!,"CLASIFICACIÓN","POLÍTICO","SUBCLASIFICACIÓN","TRANSPARENCIA")</f>
        <v>#REF!</v>
      </c>
      <c r="E48" s="200" t="s">
        <v>1670</v>
      </c>
      <c r="F48" s="189">
        <v>0</v>
      </c>
      <c r="G48" s="189">
        <v>0</v>
      </c>
    </row>
    <row r="49" spans="1:7" ht="114" customHeight="1" x14ac:dyDescent="0.25">
      <c r="A49" s="16"/>
      <c r="B49" s="6" t="s">
        <v>1649</v>
      </c>
      <c r="C49" s="14" t="s">
        <v>1671</v>
      </c>
      <c r="D49" s="189" t="e">
        <f>GETPIVOTDATA("SUBCLASIFICACIÓN",#REF!,"CLASIFICACIÓN","POLÍTICO","SUBCLASIFICACIÓN","RELACIONAMIENTO")</f>
        <v>#REF!</v>
      </c>
      <c r="E49" s="202" t="s">
        <v>170</v>
      </c>
      <c r="F49" s="189" t="e">
        <f>GETPIVOTDATA("SUBCLASIFICACIÓN",#REF!,"CLASIFICACIÓN","POLÍTICO","SUBCLASIFICACIÓN","RELACIONAMIENTO")</f>
        <v>#REF!</v>
      </c>
      <c r="G49" s="195" t="s">
        <v>1672</v>
      </c>
    </row>
    <row r="50" spans="1:7" ht="45" x14ac:dyDescent="0.25">
      <c r="A50" s="19" t="s">
        <v>1049</v>
      </c>
      <c r="B50" s="10" t="s">
        <v>1042</v>
      </c>
      <c r="C50" s="14" t="s">
        <v>1673</v>
      </c>
      <c r="D50" s="189" t="e">
        <f>GETPIVOTDATA("SUBCLASIFICACIÓN",#REF!,"CLASIFICACIÓN","ECONÓMICO ","SUBCLASIFICACIÓN","INVERSIÓN ")</f>
        <v>#REF!</v>
      </c>
      <c r="E50" s="190" t="s">
        <v>409</v>
      </c>
      <c r="F50" s="189" t="e">
        <f>GETPIVOTDATA("SUBCLASIFICACIÓN",#REF!,"CLASIFICACIÓN","ECONÓMICO ","SUBCLASIFICACIÓN","INVERSIÓN ")</f>
        <v>#REF!</v>
      </c>
      <c r="G50" s="199" t="s">
        <v>409</v>
      </c>
    </row>
    <row r="51" spans="1:7" ht="75" x14ac:dyDescent="0.25">
      <c r="A51" s="20"/>
      <c r="B51" s="10" t="s">
        <v>1191</v>
      </c>
      <c r="C51" s="14" t="s">
        <v>1674</v>
      </c>
      <c r="D51" s="189" t="e">
        <f>GETPIVOTDATA("SUBCLASIFICACIÓN",#REF!,"CLASIFICACIÓN","ECONÓMICO ","SUBCLASIFICACIÓN","CARTERA")</f>
        <v>#REF!</v>
      </c>
      <c r="E51" s="202" t="s">
        <v>279</v>
      </c>
      <c r="F51" s="189">
        <v>0</v>
      </c>
      <c r="G51" s="189">
        <v>0</v>
      </c>
    </row>
    <row r="52" spans="1:7" ht="72" customHeight="1" x14ac:dyDescent="0.25">
      <c r="A52" s="20"/>
      <c r="B52" s="10" t="s">
        <v>43</v>
      </c>
      <c r="C52" s="14" t="s">
        <v>1675</v>
      </c>
      <c r="D52" s="189" t="e">
        <f>GETPIVOTDATA("SUBCLASIFICACIÓN",#REF!,"CLASIFICACIÓN","ECONÓMICO ","SUBCLASIFICACIÓN","PRESUPUESTO")</f>
        <v>#REF!</v>
      </c>
      <c r="E52" s="190" t="s">
        <v>1988</v>
      </c>
      <c r="F52" s="189" t="e">
        <f>GETPIVOTDATA("SUBCLASIFICACIÓN",#REF!,"CLASIFICACIÓN","ECONÓMICO ","SUBCLASIFICACIÓN","PRESUPUESTO")</f>
        <v>#REF!</v>
      </c>
      <c r="G52" s="199" t="s">
        <v>246</v>
      </c>
    </row>
    <row r="53" spans="1:7" ht="165" x14ac:dyDescent="0.25">
      <c r="A53" s="19" t="s">
        <v>1038</v>
      </c>
      <c r="B53" s="10" t="s">
        <v>1046</v>
      </c>
      <c r="C53" s="14" t="s">
        <v>1677</v>
      </c>
      <c r="D53" s="203" t="e">
        <f>GETPIVOTDATA("SUBCLASIFICACIÓN",#REF!,"CLASIFICACIÓN","SOCIAL","SUBCLASIFICACIÓN","NECESIDADES")</f>
        <v>#REF!</v>
      </c>
      <c r="E53" s="204" t="s">
        <v>1678</v>
      </c>
      <c r="F53" s="189" t="e">
        <f>GETPIVOTDATA("SUBCLASIFICACIÓN",#REF!,"CLASIFICACIÓN","SOCIAL","SUBCLASIFICACIÓN","NECESIDADES")+GETPIVOTDATA("SUBCLASIFICACIÓN",#REF!,"CLASIFICACIÓN","SOCIAL","SUBCLASIFICACIÓN","NECESIDADES ")</f>
        <v>#REF!</v>
      </c>
      <c r="G53" s="155" t="s">
        <v>1679</v>
      </c>
    </row>
    <row r="54" spans="1:7" ht="144.75" customHeight="1" x14ac:dyDescent="0.25">
      <c r="A54" s="20"/>
      <c r="B54" s="10" t="s">
        <v>1680</v>
      </c>
      <c r="C54" s="14" t="s">
        <v>1681</v>
      </c>
      <c r="D54" s="189" t="e">
        <f>GETPIVOTDATA("SUBCLASIFICACIÓN",#REF!,"CLASIFICACIÓN","SOCIAL","SUBCLASIFICACIÓN","SEGURIDAD")</f>
        <v>#REF!</v>
      </c>
      <c r="E54" s="190" t="s">
        <v>1682</v>
      </c>
      <c r="F54" s="189">
        <v>0</v>
      </c>
      <c r="G54" s="189">
        <v>0</v>
      </c>
    </row>
    <row r="55" spans="1:7" ht="45" x14ac:dyDescent="0.25">
      <c r="A55" s="20"/>
      <c r="B55" s="10" t="s">
        <v>1683</v>
      </c>
      <c r="C55" s="14" t="s">
        <v>1684</v>
      </c>
      <c r="D55" s="189" t="e">
        <f>GETPIVOTDATA("SUBCLASIFICACIÓN",#REF!,"CLASIFICACIÓN","SOCIAL","SUBCLASIFICACIÓN","MEDIOS DE COMUNICACIÓN")</f>
        <v>#REF!</v>
      </c>
      <c r="E55" s="190" t="s">
        <v>8</v>
      </c>
      <c r="F55" s="189" t="e">
        <f>GETPIVOTDATA("SUBCLASIFICACIÓN",#REF!,"CLASIFICACIÓN","SOCIAL","SUBCLASIFICACIÓN","MEDIOS DE COMUNICACIÓN")</f>
        <v>#REF!</v>
      </c>
      <c r="G55" s="195" t="s">
        <v>1686</v>
      </c>
    </row>
    <row r="56" spans="1:7" ht="155.25" customHeight="1" x14ac:dyDescent="0.25">
      <c r="A56" s="20"/>
      <c r="B56" s="6" t="s">
        <v>1687</v>
      </c>
      <c r="C56" s="14" t="s">
        <v>1688</v>
      </c>
      <c r="D56" s="189" t="e">
        <f>GETPIVOTDATA("SUBCLASIFICACIÓN",#REF!,"CLASIFICACIÓN","SOCIAL","SUBCLASIFICACIÓN","CULTURA")</f>
        <v>#REF!</v>
      </c>
      <c r="E56" s="190" t="s">
        <v>1689</v>
      </c>
      <c r="F56" s="189" t="e">
        <f>GETPIVOTDATA("SUBCLASIFICACIÓN",#REF!,"CLASIFICACIÓN","SOCIAL","SUBCLASIFICACIÓN","CULTURA")</f>
        <v>#REF!</v>
      </c>
      <c r="G56" s="195" t="s">
        <v>1690</v>
      </c>
    </row>
    <row r="57" spans="1:7" ht="144.75" customHeight="1" x14ac:dyDescent="0.25">
      <c r="A57" s="19" t="s">
        <v>1061</v>
      </c>
      <c r="B57" s="10" t="s">
        <v>1081</v>
      </c>
      <c r="C57" s="14" t="s">
        <v>1691</v>
      </c>
      <c r="D57" s="189" t="e">
        <f>GETPIVOTDATA("SUBCLASIFICACIÓN",#REF!,"CLASIFICACIÓN","TECNOLÓGICO","SUBCLASIFICACIÓN","SEGURIDAD DE LA INFORMACIÓN")</f>
        <v>#REF!</v>
      </c>
      <c r="E57" s="190" t="s">
        <v>1692</v>
      </c>
      <c r="F57" s="189">
        <v>0</v>
      </c>
      <c r="G57" s="189">
        <v>0</v>
      </c>
    </row>
    <row r="58" spans="1:7" ht="144.75" customHeight="1" x14ac:dyDescent="0.25">
      <c r="A58" s="20"/>
      <c r="B58" s="10" t="s">
        <v>1062</v>
      </c>
      <c r="C58" s="14" t="s">
        <v>1693</v>
      </c>
      <c r="D58" s="189" t="e">
        <f>GETPIVOTDATA("SUBCLASIFICACIÓN",#REF!,"CLASIFICACIÓN","TECNOLÓGICO","SUBCLASIFICACIÓN","ACCESIBILIDAD")</f>
        <v>#REF!</v>
      </c>
      <c r="E58" s="190" t="s">
        <v>1694</v>
      </c>
      <c r="F58" s="203" t="e">
        <f>GETPIVOTDATA("SUBCLASIFICACIÓN",#REF!,"CLASIFICACIÓN","TECNOLÓGICO","SUBCLASIFICACIÓN","ACCESIBILIDAD")</f>
        <v>#REF!</v>
      </c>
      <c r="G58" s="206" t="s">
        <v>1695</v>
      </c>
    </row>
    <row r="59" spans="1:7" ht="142.5" customHeight="1" x14ac:dyDescent="0.25">
      <c r="A59" s="20"/>
      <c r="B59" s="6" t="s">
        <v>1123</v>
      </c>
      <c r="C59" s="14" t="s">
        <v>1696</v>
      </c>
      <c r="D59" s="189">
        <v>0</v>
      </c>
      <c r="E59" s="197">
        <v>0</v>
      </c>
      <c r="F59" s="189" t="e">
        <f>GETPIVOTDATA("SUBCLASIFICACIÓN",#REF!,"CLASIFICACIÓN","TECNOLÓGICO","SUBCLASIFICACIÓN","AVANCES")+GETPIVOTDATA("SUBCLASIFICACIÓN",#REF!,"CLASIFICACIÓN","TECNOLÓGICO","SUBCLASIFICACIÓN","AVANCES ")</f>
        <v>#REF!</v>
      </c>
      <c r="G59" s="195" t="s">
        <v>1697</v>
      </c>
    </row>
    <row r="60" spans="1:7" ht="208.5" customHeight="1" x14ac:dyDescent="0.25">
      <c r="A60" s="19" t="s">
        <v>1034</v>
      </c>
      <c r="B60" s="10" t="s">
        <v>1035</v>
      </c>
      <c r="C60" s="14" t="s">
        <v>1698</v>
      </c>
      <c r="D60" s="189" t="e">
        <f>GETPIVOTDATA("SUBCLASIFICACIÓN",#REF!,"CLASIFICACIÓN","AMBIENTAL","SUBCLASIFICACIÓN","CLIMA ")</f>
        <v>#REF!</v>
      </c>
      <c r="E60" s="190" t="s">
        <v>1699</v>
      </c>
      <c r="F60" s="189">
        <v>0</v>
      </c>
      <c r="G60" s="189">
        <v>0</v>
      </c>
    </row>
    <row r="61" spans="1:7" ht="90" x14ac:dyDescent="0.25">
      <c r="A61" s="20"/>
      <c r="B61" s="5" t="s">
        <v>1700</v>
      </c>
      <c r="C61" s="14" t="s">
        <v>1701</v>
      </c>
      <c r="D61" s="189" t="e">
        <f>GETPIVOTDATA("SUBCLASIFICACIÓN",#REF!,"CLASIFICACIÓN","AMBIENTAL","SUBCLASIFICACIÓN","PATÓGENOS EXTERNOS ")</f>
        <v>#REF!</v>
      </c>
      <c r="E61" s="190" t="s">
        <v>1702</v>
      </c>
      <c r="F61" s="189">
        <v>0</v>
      </c>
      <c r="G61" s="189">
        <v>0</v>
      </c>
    </row>
    <row r="62" spans="1:7" ht="45" x14ac:dyDescent="0.25">
      <c r="A62" s="19" t="s">
        <v>1245</v>
      </c>
      <c r="B62" s="10" t="s">
        <v>1703</v>
      </c>
      <c r="C62" s="14" t="s">
        <v>1704</v>
      </c>
      <c r="D62" s="189" t="e">
        <f>GETPIVOTDATA("SUBCLASIFICACIÓN",#REF!,"CLASIFICACIÓN","LEGAL ","SUBCLASIFICACIÓN","CONFIABILIDAD")</f>
        <v>#REF!</v>
      </c>
      <c r="E62" s="190" t="s">
        <v>237</v>
      </c>
      <c r="F62" s="189">
        <v>0</v>
      </c>
      <c r="G62" s="189">
        <v>0</v>
      </c>
    </row>
    <row r="63" spans="1:7" ht="83.25" customHeight="1" x14ac:dyDescent="0.25">
      <c r="A63" s="20"/>
      <c r="B63" s="10" t="s">
        <v>1050</v>
      </c>
      <c r="C63" s="14" t="s">
        <v>1705</v>
      </c>
      <c r="D63" s="189" t="e">
        <f>GETPIVOTDATA("SUBCLASIFICACIÓN",#REF!,"CLASIFICACIÓN","LEGAL ","SUBCLASIFICACIÓN","LINEAMIENTOS ")</f>
        <v>#REF!</v>
      </c>
      <c r="E63" s="190" t="s">
        <v>1989</v>
      </c>
      <c r="F63" s="189" t="e">
        <f>GETPIVOTDATA("SUBCLASIFICACIÓN",#REF!,"CLASIFICACIÓN","LEGAL ","SUBCLASIFICACIÓN","LINEAMIENTOS")</f>
        <v>#REF!</v>
      </c>
      <c r="G63" s="195" t="s">
        <v>1990</v>
      </c>
    </row>
    <row r="64" spans="1:7" ht="36.75" customHeight="1" x14ac:dyDescent="0.25">
      <c r="A64" s="20"/>
      <c r="B64" s="10" t="s">
        <v>1708</v>
      </c>
      <c r="C64" s="14" t="s">
        <v>1709</v>
      </c>
      <c r="D64" s="189" t="e">
        <f>GETPIVOTDATA("SUBCLASIFICACIÓN",#REF!,"CLASIFICACIÓN","LEGAL ","SUBCLASIFICACIÓN","ENTES DE CONTROL")</f>
        <v>#REF!</v>
      </c>
      <c r="E64" s="190" t="s">
        <v>481</v>
      </c>
      <c r="F64" s="189" t="e">
        <f>GETPIVOTDATA("SUBCLASIFICACIÓN",#REF!,"CLASIFICACIÓN","LEGAL ","SUBCLASIFICACIÓN","ENTES DE CONTROL")</f>
        <v>#REF!</v>
      </c>
      <c r="G64" s="195" t="s">
        <v>1991</v>
      </c>
    </row>
    <row r="65" spans="1:7" ht="141" customHeight="1" x14ac:dyDescent="0.25">
      <c r="A65" s="20"/>
      <c r="B65" s="10" t="s">
        <v>1711</v>
      </c>
      <c r="C65" s="14" t="s">
        <v>1712</v>
      </c>
      <c r="D65" s="189" t="e">
        <f>GETPIVOTDATA("SUBCLASIFICACIÓN",#REF!,"CLASIFICACIÓN","LEGAL ","SUBCLASIFICACIÓN","CONTINUIDAD DE PROCESOS")</f>
        <v>#REF!</v>
      </c>
      <c r="E65" s="190" t="s">
        <v>1992</v>
      </c>
      <c r="F65" s="189" t="e">
        <f>GETPIVOTDATA("SUBCLASIFICACIÓN",#REF!,"CLASIFICACIÓN","LEGAL ","SUBCLASIFICACIÓN","CONTINUIDAD DE PROCESOS")</f>
        <v>#REF!</v>
      </c>
      <c r="G65" s="198" t="s">
        <v>57</v>
      </c>
    </row>
    <row r="66" spans="1:7" ht="192.75" customHeight="1" x14ac:dyDescent="0.25">
      <c r="A66" s="20"/>
      <c r="B66" s="10" t="s">
        <v>1714</v>
      </c>
      <c r="C66" s="14" t="s">
        <v>1715</v>
      </c>
      <c r="D66" s="203" t="e">
        <f>GETPIVOTDATA("SUBCLASIFICACIÓN",#REF!,"CLASIFICACIÓN","LEGAL ","SUBCLASIFICACIÓN","NORMATIVIDAD")</f>
        <v>#REF!</v>
      </c>
      <c r="E66" s="204" t="s">
        <v>1993</v>
      </c>
      <c r="F66" s="189" t="e">
        <f>GETPIVOTDATA("SUBCLASIFICACIÓN",#REF!,"CLASIFICACIÓN","LEGAL ","SUBCLASIFICACIÓN","NORMATIVIDAD")</f>
        <v>#REF!</v>
      </c>
      <c r="G66" s="195" t="s">
        <v>1994</v>
      </c>
    </row>
    <row r="67" spans="1:7" ht="185.25" customHeight="1" x14ac:dyDescent="0.25">
      <c r="A67" s="9" t="s">
        <v>1022</v>
      </c>
      <c r="B67" s="10" t="s">
        <v>1072</v>
      </c>
      <c r="C67" s="14" t="s">
        <v>1718</v>
      </c>
      <c r="D67" s="189" t="e">
        <f>GETPIVOTDATA("SUBCLASIFICACIÓN",#REF!,"CLASIFICACIÓN","MERCADO","SUBCLASIFICACIÓN","OFERTA")</f>
        <v>#REF!</v>
      </c>
      <c r="E67" s="190" t="s">
        <v>380</v>
      </c>
      <c r="F67" s="189" t="e">
        <f>GETPIVOTDATA("SUBCLASIFICACIÓN",#REF!,"CLASIFICACIÓN","MERCADO","SUBCLASIFICACIÓN","OFERTA")+GETPIVOTDATA("SUBCLASIFICACIÓN",#REF!,"CLASIFICACIÓN","MERCADO","SUBCLASIFICACIÓN","OFERTA ")</f>
        <v>#REF!</v>
      </c>
      <c r="G67" s="195" t="s">
        <v>1995</v>
      </c>
    </row>
    <row r="68" spans="1:7" ht="51.75" customHeight="1" x14ac:dyDescent="0.25">
      <c r="A68" s="26"/>
      <c r="B68" s="10" t="s">
        <v>1120</v>
      </c>
      <c r="C68" s="14" t="s">
        <v>1720</v>
      </c>
      <c r="D68" s="189" t="e">
        <f>GETPIVOTDATA("SUBCLASIFICACIÓN",#REF!,"CLASIFICACIÓN","MERCADO","SUBCLASIFICACIÓN","DEMANDA")</f>
        <v>#REF!</v>
      </c>
      <c r="E68" s="201" t="s">
        <v>1996</v>
      </c>
      <c r="F68" s="189" t="e">
        <f>GETPIVOTDATA("SUBCLASIFICACIÓN",#REF!,"CLASIFICACIÓN","MERCADO","SUBCLASIFICACIÓN","DEMANDA")</f>
        <v>#REF!</v>
      </c>
      <c r="G68" s="195" t="s">
        <v>1722</v>
      </c>
    </row>
    <row r="69" spans="1:7" ht="162.75" customHeight="1" x14ac:dyDescent="0.25">
      <c r="A69" s="26"/>
      <c r="B69" s="10" t="s">
        <v>1023</v>
      </c>
      <c r="C69" s="14" t="s">
        <v>1723</v>
      </c>
      <c r="D69" s="189" t="e">
        <f>GETPIVOTDATA("SUBCLASIFICACIÓN",#REF!,"CLASIFICACIÓN","MERCADO","SUBCLASIFICACIÓN","RECONOCIMIENTO")+GETPIVOTDATA("SUBCLASIFICACIÓN",#REF!,"CLASIFICACIÓN","MERCADO","SUBCLASIFICACIÓN","RECONOCIMIENTO ")</f>
        <v>#REF!</v>
      </c>
      <c r="E69" s="190" t="s">
        <v>1724</v>
      </c>
      <c r="F69" s="203" t="e">
        <f>GETPIVOTDATA("SUBCLASIFICACIÓN",#REF!,"CLASIFICACIÓN","MERCADO","SUBCLASIFICACIÓN","RECONOCIMIENTO")</f>
        <v>#REF!</v>
      </c>
      <c r="G69" s="206" t="s">
        <v>1725</v>
      </c>
    </row>
    <row r="70" spans="1:7" ht="77.25" customHeight="1" x14ac:dyDescent="0.25">
      <c r="A70" s="27"/>
      <c r="B70" s="6" t="s">
        <v>10</v>
      </c>
      <c r="C70" s="14" t="s">
        <v>1726</v>
      </c>
      <c r="D70" s="189" t="e">
        <f>GETPIVOTDATA("SUBCLASIFICACIÓN",#REF!,"CLASIFICACIÓN","MERCADO","SUBCLASIFICACIÓN","COMPETENCIA")</f>
        <v>#REF!</v>
      </c>
      <c r="E70" s="190" t="s">
        <v>1997</v>
      </c>
      <c r="F70" s="189" t="e">
        <f>GETPIVOTDATA("SUBCLASIFICACIÓN",#REF!,"CLASIFICACIÓN","MERCADO","SUBCLASIFICACIÓN","COMPETENCIA ")</f>
        <v>#REF!</v>
      </c>
      <c r="G70" s="195" t="s">
        <v>1728</v>
      </c>
    </row>
    <row r="71" spans="1:7" ht="15" customHeight="1" x14ac:dyDescent="0.25"/>
    <row r="72" spans="1:7" ht="15" customHeight="1" x14ac:dyDescent="0.25"/>
    <row r="73" spans="1:7" ht="15" customHeight="1" x14ac:dyDescent="0.25"/>
    <row r="74" spans="1:7" ht="15" customHeight="1" x14ac:dyDescent="0.25"/>
  </sheetData>
  <mergeCells count="4">
    <mergeCell ref="A1:B1"/>
    <mergeCell ref="A2:A9"/>
    <mergeCell ref="A10:A18"/>
    <mergeCell ref="A45:B45"/>
  </mergeCells>
  <pageMargins left="0.7" right="0.7" top="0.75" bottom="0.75" header="0.3" footer="0.3"/>
  <pageSetup paperSize="9" orientation="portrait" horizontalDpi="200" verticalDpi="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51"/>
  <sheetViews>
    <sheetView workbookViewId="0">
      <selection activeCell="E8" sqref="E8"/>
    </sheetView>
  </sheetViews>
  <sheetFormatPr baseColWidth="10" defaultColWidth="11.42578125" defaultRowHeight="15" x14ac:dyDescent="0.25"/>
  <cols>
    <col min="6" max="6" width="16.5703125" customWidth="1"/>
    <col min="7" max="7" width="20.140625" customWidth="1"/>
  </cols>
  <sheetData>
    <row r="1" spans="1:7" x14ac:dyDescent="0.25">
      <c r="A1" t="s">
        <v>0</v>
      </c>
      <c r="B1" t="s">
        <v>1</v>
      </c>
      <c r="C1" t="s">
        <v>2</v>
      </c>
      <c r="D1" t="s">
        <v>3</v>
      </c>
      <c r="E1" t="s">
        <v>4</v>
      </c>
      <c r="F1" t="s">
        <v>5</v>
      </c>
      <c r="G1" t="s">
        <v>6</v>
      </c>
    </row>
    <row r="2" spans="1:7" x14ac:dyDescent="0.25">
      <c r="A2">
        <v>1644</v>
      </c>
      <c r="B2">
        <v>2022</v>
      </c>
      <c r="C2" t="s">
        <v>1019</v>
      </c>
      <c r="D2" t="s">
        <v>8</v>
      </c>
      <c r="E2" t="s">
        <v>1265</v>
      </c>
      <c r="F2" t="s">
        <v>1034</v>
      </c>
      <c r="G2" t="s">
        <v>1035</v>
      </c>
    </row>
    <row r="3" spans="1:7" x14ac:dyDescent="0.25">
      <c r="A3">
        <v>1643</v>
      </c>
      <c r="B3">
        <v>2022</v>
      </c>
      <c r="C3" t="s">
        <v>1019</v>
      </c>
      <c r="D3" t="s">
        <v>8</v>
      </c>
      <c r="E3" t="s">
        <v>1264</v>
      </c>
      <c r="F3" t="s">
        <v>1038</v>
      </c>
      <c r="G3" t="s">
        <v>1051</v>
      </c>
    </row>
    <row r="4" spans="1:7" x14ac:dyDescent="0.25">
      <c r="A4">
        <v>1647</v>
      </c>
      <c r="B4">
        <v>2022</v>
      </c>
      <c r="C4" t="s">
        <v>1019</v>
      </c>
      <c r="D4" t="s">
        <v>8</v>
      </c>
      <c r="E4" t="s">
        <v>1267</v>
      </c>
      <c r="F4" t="s">
        <v>1038</v>
      </c>
      <c r="G4" t="s">
        <v>1124</v>
      </c>
    </row>
    <row r="5" spans="1:7" x14ac:dyDescent="0.25">
      <c r="A5">
        <v>1650</v>
      </c>
      <c r="B5">
        <v>2022</v>
      </c>
      <c r="C5" t="s">
        <v>1019</v>
      </c>
      <c r="D5" t="s">
        <v>8</v>
      </c>
      <c r="E5" t="s">
        <v>1268</v>
      </c>
      <c r="F5" t="s">
        <v>1021</v>
      </c>
      <c r="G5" t="s">
        <v>70</v>
      </c>
    </row>
    <row r="6" spans="1:7" x14ac:dyDescent="0.25">
      <c r="A6">
        <v>1645</v>
      </c>
      <c r="B6">
        <v>2022</v>
      </c>
      <c r="C6" t="s">
        <v>1019</v>
      </c>
      <c r="D6" t="s">
        <v>8</v>
      </c>
      <c r="E6" t="s">
        <v>1266</v>
      </c>
      <c r="F6" t="s">
        <v>1038</v>
      </c>
      <c r="G6" t="s">
        <v>1039</v>
      </c>
    </row>
    <row r="7" spans="1:7" x14ac:dyDescent="0.25">
      <c r="A7">
        <v>1641</v>
      </c>
      <c r="B7">
        <v>2022</v>
      </c>
      <c r="C7" t="s">
        <v>1019</v>
      </c>
      <c r="D7" t="s">
        <v>8</v>
      </c>
      <c r="E7" t="s">
        <v>1255</v>
      </c>
      <c r="F7" t="s">
        <v>1061</v>
      </c>
      <c r="G7" t="s">
        <v>1912</v>
      </c>
    </row>
    <row r="8" spans="1:7" x14ac:dyDescent="0.25">
      <c r="A8">
        <v>1392</v>
      </c>
      <c r="B8">
        <v>2022</v>
      </c>
      <c r="C8" t="s">
        <v>1019</v>
      </c>
      <c r="D8" t="s">
        <v>34</v>
      </c>
      <c r="E8" t="s">
        <v>1070</v>
      </c>
      <c r="F8" t="s">
        <v>1061</v>
      </c>
      <c r="G8" t="s">
        <v>1062</v>
      </c>
    </row>
    <row r="9" spans="1:7" x14ac:dyDescent="0.25">
      <c r="A9">
        <v>1388</v>
      </c>
      <c r="B9">
        <v>2022</v>
      </c>
      <c r="C9" t="s">
        <v>1019</v>
      </c>
      <c r="D9" t="s">
        <v>34</v>
      </c>
      <c r="E9" t="s">
        <v>1066</v>
      </c>
      <c r="F9" t="s">
        <v>1038</v>
      </c>
      <c r="G9" t="s">
        <v>1051</v>
      </c>
    </row>
    <row r="10" spans="1:7" x14ac:dyDescent="0.25">
      <c r="A10">
        <v>1391</v>
      </c>
      <c r="B10">
        <v>2022</v>
      </c>
      <c r="C10" t="s">
        <v>1019</v>
      </c>
      <c r="D10" t="s">
        <v>34</v>
      </c>
      <c r="E10" t="s">
        <v>1069</v>
      </c>
      <c r="F10" t="s">
        <v>1021</v>
      </c>
      <c r="G10" t="s">
        <v>1050</v>
      </c>
    </row>
    <row r="11" spans="1:7" x14ac:dyDescent="0.25">
      <c r="A11">
        <v>1389</v>
      </c>
      <c r="B11">
        <v>2022</v>
      </c>
      <c r="C11" t="s">
        <v>1019</v>
      </c>
      <c r="D11" t="s">
        <v>34</v>
      </c>
      <c r="E11" t="s">
        <v>1067</v>
      </c>
      <c r="F11" t="s">
        <v>1021</v>
      </c>
      <c r="G11" t="s">
        <v>1050</v>
      </c>
    </row>
    <row r="12" spans="1:7" x14ac:dyDescent="0.25">
      <c r="A12">
        <v>1390</v>
      </c>
      <c r="B12">
        <v>2022</v>
      </c>
      <c r="C12" t="s">
        <v>1019</v>
      </c>
      <c r="D12" t="s">
        <v>34</v>
      </c>
      <c r="E12" t="s">
        <v>1068</v>
      </c>
      <c r="F12" t="s">
        <v>1038</v>
      </c>
      <c r="G12" t="s">
        <v>1046</v>
      </c>
    </row>
    <row r="13" spans="1:7" x14ac:dyDescent="0.25">
      <c r="A13">
        <v>1386</v>
      </c>
      <c r="B13">
        <v>2022</v>
      </c>
      <c r="C13" t="s">
        <v>1019</v>
      </c>
      <c r="D13" t="s">
        <v>34</v>
      </c>
      <c r="E13" t="s">
        <v>1064</v>
      </c>
      <c r="F13" t="s">
        <v>1038</v>
      </c>
      <c r="G13" t="s">
        <v>1046</v>
      </c>
    </row>
    <row r="14" spans="1:7" x14ac:dyDescent="0.25">
      <c r="A14">
        <v>1393</v>
      </c>
      <c r="B14">
        <v>2022</v>
      </c>
      <c r="C14" t="s">
        <v>1019</v>
      </c>
      <c r="D14" t="s">
        <v>34</v>
      </c>
      <c r="E14" t="s">
        <v>1071</v>
      </c>
      <c r="F14" t="s">
        <v>1021</v>
      </c>
      <c r="G14" t="s">
        <v>70</v>
      </c>
    </row>
    <row r="15" spans="1:7" x14ac:dyDescent="0.25">
      <c r="A15">
        <v>1385</v>
      </c>
      <c r="B15">
        <v>2022</v>
      </c>
      <c r="C15" t="s">
        <v>1019</v>
      </c>
      <c r="D15" t="s">
        <v>34</v>
      </c>
      <c r="E15" t="s">
        <v>1063</v>
      </c>
      <c r="F15" t="s">
        <v>1034</v>
      </c>
      <c r="G15" t="s">
        <v>1700</v>
      </c>
    </row>
    <row r="16" spans="1:7" x14ac:dyDescent="0.25">
      <c r="A16">
        <v>1387</v>
      </c>
      <c r="B16">
        <v>2022</v>
      </c>
      <c r="C16" t="s">
        <v>1019</v>
      </c>
      <c r="D16" t="s">
        <v>34</v>
      </c>
      <c r="E16" t="s">
        <v>1065</v>
      </c>
      <c r="F16" t="s">
        <v>1041</v>
      </c>
      <c r="G16" t="s">
        <v>43</v>
      </c>
    </row>
    <row r="17" spans="1:7" x14ac:dyDescent="0.25">
      <c r="A17">
        <v>1475</v>
      </c>
      <c r="B17">
        <v>2022</v>
      </c>
      <c r="C17" t="s">
        <v>1019</v>
      </c>
      <c r="D17" t="s">
        <v>89</v>
      </c>
      <c r="E17" t="s">
        <v>1136</v>
      </c>
      <c r="F17" t="s">
        <v>1034</v>
      </c>
      <c r="G17" t="s">
        <v>1035</v>
      </c>
    </row>
    <row r="18" spans="1:7" x14ac:dyDescent="0.25">
      <c r="A18">
        <v>1469</v>
      </c>
      <c r="B18">
        <v>2022</v>
      </c>
      <c r="C18" t="s">
        <v>1019</v>
      </c>
      <c r="D18" t="s">
        <v>89</v>
      </c>
      <c r="E18" t="s">
        <v>1122</v>
      </c>
      <c r="F18" t="s">
        <v>1021</v>
      </c>
      <c r="G18" t="s">
        <v>1910</v>
      </c>
    </row>
    <row r="19" spans="1:7" x14ac:dyDescent="0.25">
      <c r="A19">
        <v>1478</v>
      </c>
      <c r="B19">
        <v>2022</v>
      </c>
      <c r="C19" t="s">
        <v>1019</v>
      </c>
      <c r="D19" t="s">
        <v>89</v>
      </c>
      <c r="E19" t="s">
        <v>1138</v>
      </c>
      <c r="F19" t="s">
        <v>1038</v>
      </c>
      <c r="G19" t="s">
        <v>1051</v>
      </c>
    </row>
    <row r="20" spans="1:7" x14ac:dyDescent="0.25">
      <c r="A20">
        <v>1468</v>
      </c>
      <c r="B20">
        <v>2022</v>
      </c>
      <c r="C20" t="s">
        <v>1019</v>
      </c>
      <c r="D20" t="s">
        <v>89</v>
      </c>
      <c r="E20" t="s">
        <v>1121</v>
      </c>
      <c r="F20" t="s">
        <v>1038</v>
      </c>
      <c r="G20" t="s">
        <v>1051</v>
      </c>
    </row>
    <row r="21" spans="1:7" x14ac:dyDescent="0.25">
      <c r="A21">
        <v>1480</v>
      </c>
      <c r="B21">
        <v>2022</v>
      </c>
      <c r="C21" t="s">
        <v>1019</v>
      </c>
      <c r="D21" t="s">
        <v>89</v>
      </c>
      <c r="E21" t="s">
        <v>1140</v>
      </c>
      <c r="F21" t="s">
        <v>1038</v>
      </c>
      <c r="G21" t="s">
        <v>1124</v>
      </c>
    </row>
    <row r="22" spans="1:7" x14ac:dyDescent="0.25">
      <c r="A22">
        <v>1470</v>
      </c>
      <c r="B22">
        <v>2022</v>
      </c>
      <c r="C22" t="s">
        <v>1019</v>
      </c>
      <c r="D22" t="s">
        <v>89</v>
      </c>
      <c r="E22" t="s">
        <v>1125</v>
      </c>
      <c r="F22" t="s">
        <v>1038</v>
      </c>
      <c r="G22" t="s">
        <v>1046</v>
      </c>
    </row>
    <row r="23" spans="1:7" x14ac:dyDescent="0.25">
      <c r="A23">
        <v>1479</v>
      </c>
      <c r="B23">
        <v>2022</v>
      </c>
      <c r="C23" t="s">
        <v>1019</v>
      </c>
      <c r="D23" t="s">
        <v>89</v>
      </c>
      <c r="E23" t="s">
        <v>1139</v>
      </c>
      <c r="F23" t="s">
        <v>1021</v>
      </c>
      <c r="G23" t="s">
        <v>70</v>
      </c>
    </row>
    <row r="24" spans="1:7" x14ac:dyDescent="0.25">
      <c r="A24">
        <v>1477</v>
      </c>
      <c r="B24">
        <v>2022</v>
      </c>
      <c r="C24" t="s">
        <v>1019</v>
      </c>
      <c r="D24" t="s">
        <v>89</v>
      </c>
      <c r="E24" t="s">
        <v>1137</v>
      </c>
      <c r="F24" t="s">
        <v>1021</v>
      </c>
      <c r="G24" t="s">
        <v>70</v>
      </c>
    </row>
    <row r="25" spans="1:7" x14ac:dyDescent="0.25">
      <c r="A25">
        <v>1471</v>
      </c>
      <c r="B25">
        <v>2022</v>
      </c>
      <c r="C25" t="s">
        <v>1019</v>
      </c>
      <c r="D25" t="s">
        <v>89</v>
      </c>
      <c r="E25" t="s">
        <v>1126</v>
      </c>
      <c r="F25" t="s">
        <v>1024</v>
      </c>
      <c r="G25" t="s">
        <v>1911</v>
      </c>
    </row>
    <row r="26" spans="1:7" x14ac:dyDescent="0.25">
      <c r="A26">
        <v>1473</v>
      </c>
      <c r="B26">
        <v>2022</v>
      </c>
      <c r="C26" t="s">
        <v>1019</v>
      </c>
      <c r="D26" t="s">
        <v>89</v>
      </c>
      <c r="E26" t="s">
        <v>1135</v>
      </c>
      <c r="F26" t="s">
        <v>1038</v>
      </c>
      <c r="G26" t="s">
        <v>1039</v>
      </c>
    </row>
    <row r="27" spans="1:7" x14ac:dyDescent="0.25">
      <c r="A27">
        <v>1540</v>
      </c>
      <c r="B27">
        <v>2022</v>
      </c>
      <c r="C27" t="s">
        <v>1019</v>
      </c>
      <c r="D27" t="s">
        <v>102</v>
      </c>
      <c r="E27" t="s">
        <v>1181</v>
      </c>
      <c r="F27" t="s">
        <v>1022</v>
      </c>
      <c r="G27" t="s">
        <v>10</v>
      </c>
    </row>
    <row r="28" spans="1:7" x14ac:dyDescent="0.25">
      <c r="A28">
        <v>1542</v>
      </c>
      <c r="B28">
        <v>2022</v>
      </c>
      <c r="C28" t="s">
        <v>1019</v>
      </c>
      <c r="D28" t="s">
        <v>102</v>
      </c>
      <c r="E28" t="s">
        <v>1183</v>
      </c>
      <c r="F28" t="s">
        <v>1021</v>
      </c>
      <c r="G28" t="s">
        <v>1910</v>
      </c>
    </row>
    <row r="29" spans="1:7" x14ac:dyDescent="0.25">
      <c r="A29">
        <v>1546</v>
      </c>
      <c r="B29">
        <v>2022</v>
      </c>
      <c r="C29" t="s">
        <v>1019</v>
      </c>
      <c r="D29" t="s">
        <v>102</v>
      </c>
      <c r="E29" t="s">
        <v>1187</v>
      </c>
      <c r="F29" t="s">
        <v>1038</v>
      </c>
      <c r="G29" t="s">
        <v>1046</v>
      </c>
    </row>
    <row r="30" spans="1:7" x14ac:dyDescent="0.25">
      <c r="A30">
        <v>1539</v>
      </c>
      <c r="B30">
        <v>2022</v>
      </c>
      <c r="C30" t="s">
        <v>1019</v>
      </c>
      <c r="D30" t="s">
        <v>102</v>
      </c>
      <c r="E30" t="s">
        <v>1180</v>
      </c>
      <c r="F30" t="s">
        <v>1038</v>
      </c>
      <c r="G30" t="s">
        <v>1046</v>
      </c>
    </row>
    <row r="31" spans="1:7" x14ac:dyDescent="0.25">
      <c r="A31">
        <v>1547</v>
      </c>
      <c r="B31">
        <v>2022</v>
      </c>
      <c r="C31" t="s">
        <v>1019</v>
      </c>
      <c r="D31" t="s">
        <v>102</v>
      </c>
      <c r="E31" t="s">
        <v>1188</v>
      </c>
      <c r="F31" t="s">
        <v>1021</v>
      </c>
      <c r="G31" t="s">
        <v>70</v>
      </c>
    </row>
    <row r="32" spans="1:7" x14ac:dyDescent="0.25">
      <c r="A32">
        <v>1541</v>
      </c>
      <c r="B32">
        <v>2022</v>
      </c>
      <c r="C32" t="s">
        <v>1019</v>
      </c>
      <c r="D32" t="s">
        <v>102</v>
      </c>
      <c r="E32" t="s">
        <v>1182</v>
      </c>
      <c r="F32" t="s">
        <v>1034</v>
      </c>
      <c r="G32" t="s">
        <v>1700</v>
      </c>
    </row>
    <row r="33" spans="1:7" x14ac:dyDescent="0.25">
      <c r="A33">
        <v>1544</v>
      </c>
      <c r="B33">
        <v>2022</v>
      </c>
      <c r="C33" t="s">
        <v>1019</v>
      </c>
      <c r="D33" t="s">
        <v>102</v>
      </c>
      <c r="E33" t="s">
        <v>1185</v>
      </c>
      <c r="F33" t="s">
        <v>1061</v>
      </c>
      <c r="G33" t="s">
        <v>1912</v>
      </c>
    </row>
    <row r="34" spans="1:7" x14ac:dyDescent="0.25">
      <c r="A34">
        <v>1543</v>
      </c>
      <c r="B34">
        <v>2022</v>
      </c>
      <c r="C34" t="s">
        <v>1019</v>
      </c>
      <c r="D34" t="s">
        <v>102</v>
      </c>
      <c r="E34" t="s">
        <v>1184</v>
      </c>
      <c r="F34" t="s">
        <v>1061</v>
      </c>
      <c r="G34" t="s">
        <v>1912</v>
      </c>
    </row>
    <row r="35" spans="1:7" x14ac:dyDescent="0.25">
      <c r="A35">
        <v>1545</v>
      </c>
      <c r="B35">
        <v>2022</v>
      </c>
      <c r="C35" t="s">
        <v>1019</v>
      </c>
      <c r="D35" t="s">
        <v>102</v>
      </c>
      <c r="E35" t="s">
        <v>1186</v>
      </c>
      <c r="F35" t="s">
        <v>1024</v>
      </c>
      <c r="G35" t="s">
        <v>487</v>
      </c>
    </row>
    <row r="36" spans="1:7" x14ac:dyDescent="0.25">
      <c r="A36">
        <v>1601</v>
      </c>
      <c r="B36">
        <v>2022</v>
      </c>
      <c r="C36" t="s">
        <v>1019</v>
      </c>
      <c r="D36" t="s">
        <v>139</v>
      </c>
      <c r="E36" t="s">
        <v>1234</v>
      </c>
      <c r="F36" t="s">
        <v>1034</v>
      </c>
      <c r="G36" t="s">
        <v>1035</v>
      </c>
    </row>
    <row r="37" spans="1:7" x14ac:dyDescent="0.25">
      <c r="A37">
        <v>1598</v>
      </c>
      <c r="B37">
        <v>2022</v>
      </c>
      <c r="C37" t="s">
        <v>1019</v>
      </c>
      <c r="D37" t="s">
        <v>139</v>
      </c>
      <c r="E37" t="s">
        <v>1226</v>
      </c>
      <c r="F37" t="s">
        <v>1038</v>
      </c>
      <c r="G37" t="s">
        <v>1051</v>
      </c>
    </row>
    <row r="38" spans="1:7" x14ac:dyDescent="0.25">
      <c r="A38">
        <v>1603</v>
      </c>
      <c r="B38">
        <v>2022</v>
      </c>
      <c r="C38" t="s">
        <v>1019</v>
      </c>
      <c r="D38" t="s">
        <v>139</v>
      </c>
      <c r="E38" t="s">
        <v>1146</v>
      </c>
      <c r="F38" t="s">
        <v>1021</v>
      </c>
      <c r="G38" t="s">
        <v>70</v>
      </c>
    </row>
    <row r="39" spans="1:7" x14ac:dyDescent="0.25">
      <c r="A39">
        <v>1602</v>
      </c>
      <c r="B39">
        <v>2022</v>
      </c>
      <c r="C39" t="s">
        <v>1019</v>
      </c>
      <c r="D39" t="s">
        <v>139</v>
      </c>
      <c r="E39" t="s">
        <v>1235</v>
      </c>
      <c r="F39" t="s">
        <v>1022</v>
      </c>
      <c r="G39" t="s">
        <v>1023</v>
      </c>
    </row>
    <row r="40" spans="1:7" x14ac:dyDescent="0.25">
      <c r="A40">
        <v>1604</v>
      </c>
      <c r="B40">
        <v>2022</v>
      </c>
      <c r="C40" t="s">
        <v>1019</v>
      </c>
      <c r="D40" t="s">
        <v>139</v>
      </c>
      <c r="E40" t="s">
        <v>1236</v>
      </c>
      <c r="F40" t="s">
        <v>1038</v>
      </c>
      <c r="G40" t="s">
        <v>1039</v>
      </c>
    </row>
    <row r="41" spans="1:7" x14ac:dyDescent="0.25">
      <c r="A41">
        <v>1600</v>
      </c>
      <c r="B41">
        <v>2022</v>
      </c>
      <c r="C41" t="s">
        <v>1019</v>
      </c>
      <c r="D41" t="s">
        <v>139</v>
      </c>
      <c r="E41" t="s">
        <v>1233</v>
      </c>
      <c r="F41" t="s">
        <v>1038</v>
      </c>
      <c r="G41" t="s">
        <v>1039</v>
      </c>
    </row>
    <row r="42" spans="1:7" x14ac:dyDescent="0.25">
      <c r="A42">
        <v>1597</v>
      </c>
      <c r="B42">
        <v>2022</v>
      </c>
      <c r="C42" t="s">
        <v>1019</v>
      </c>
      <c r="D42" t="s">
        <v>139</v>
      </c>
      <c r="E42" t="s">
        <v>1225</v>
      </c>
      <c r="F42" t="s">
        <v>1061</v>
      </c>
      <c r="G42" t="s">
        <v>1912</v>
      </c>
    </row>
    <row r="43" spans="1:7" x14ac:dyDescent="0.25">
      <c r="A43">
        <v>1515</v>
      </c>
      <c r="B43">
        <v>2022</v>
      </c>
      <c r="C43" t="s">
        <v>1019</v>
      </c>
      <c r="D43" t="s">
        <v>191</v>
      </c>
      <c r="E43" t="s">
        <v>1998</v>
      </c>
      <c r="F43" t="s">
        <v>1061</v>
      </c>
      <c r="G43" t="s">
        <v>1062</v>
      </c>
    </row>
    <row r="44" spans="1:7" x14ac:dyDescent="0.25">
      <c r="A44">
        <v>1517</v>
      </c>
      <c r="B44">
        <v>2022</v>
      </c>
      <c r="C44" t="s">
        <v>1019</v>
      </c>
      <c r="D44" t="s">
        <v>191</v>
      </c>
      <c r="E44" t="s">
        <v>1159</v>
      </c>
      <c r="F44" t="s">
        <v>1021</v>
      </c>
      <c r="G44" t="s">
        <v>1910</v>
      </c>
    </row>
    <row r="45" spans="1:7" x14ac:dyDescent="0.25">
      <c r="A45">
        <v>1516</v>
      </c>
      <c r="B45">
        <v>2022</v>
      </c>
      <c r="C45" t="s">
        <v>1019</v>
      </c>
      <c r="D45" t="s">
        <v>191</v>
      </c>
      <c r="E45" t="s">
        <v>1158</v>
      </c>
      <c r="F45" t="s">
        <v>1021</v>
      </c>
      <c r="G45" t="s">
        <v>1910</v>
      </c>
    </row>
    <row r="46" spans="1:7" x14ac:dyDescent="0.25">
      <c r="A46">
        <v>1520</v>
      </c>
      <c r="B46">
        <v>2022</v>
      </c>
      <c r="C46" t="s">
        <v>1019</v>
      </c>
      <c r="D46" t="s">
        <v>191</v>
      </c>
      <c r="E46" t="s">
        <v>1165</v>
      </c>
      <c r="F46" t="s">
        <v>1038</v>
      </c>
      <c r="G46" t="s">
        <v>1046</v>
      </c>
    </row>
    <row r="47" spans="1:7" x14ac:dyDescent="0.25">
      <c r="A47">
        <v>1518</v>
      </c>
      <c r="B47">
        <v>2022</v>
      </c>
      <c r="C47" t="s">
        <v>1019</v>
      </c>
      <c r="D47" t="s">
        <v>191</v>
      </c>
      <c r="E47" t="s">
        <v>1164</v>
      </c>
      <c r="F47" t="s">
        <v>1061</v>
      </c>
      <c r="G47" t="s">
        <v>1912</v>
      </c>
    </row>
    <row r="48" spans="1:7" x14ac:dyDescent="0.25">
      <c r="A48">
        <v>1616</v>
      </c>
      <c r="B48">
        <v>2022</v>
      </c>
      <c r="C48" t="s">
        <v>1019</v>
      </c>
      <c r="D48" t="s">
        <v>208</v>
      </c>
      <c r="E48" t="s">
        <v>1243</v>
      </c>
      <c r="F48" t="s">
        <v>1061</v>
      </c>
      <c r="G48" t="s">
        <v>1062</v>
      </c>
    </row>
    <row r="49" spans="1:7" x14ac:dyDescent="0.25">
      <c r="A49">
        <v>1613</v>
      </c>
      <c r="B49">
        <v>2022</v>
      </c>
      <c r="C49" t="s">
        <v>1019</v>
      </c>
      <c r="D49" t="s">
        <v>208</v>
      </c>
      <c r="E49" t="s">
        <v>1240</v>
      </c>
      <c r="F49" t="s">
        <v>1034</v>
      </c>
      <c r="G49" t="s">
        <v>1035</v>
      </c>
    </row>
    <row r="50" spans="1:7" x14ac:dyDescent="0.25">
      <c r="A50">
        <v>1612</v>
      </c>
      <c r="B50">
        <v>2022</v>
      </c>
      <c r="C50" t="s">
        <v>1019</v>
      </c>
      <c r="D50" t="s">
        <v>208</v>
      </c>
      <c r="E50" t="s">
        <v>1239</v>
      </c>
      <c r="F50" t="s">
        <v>1021</v>
      </c>
      <c r="G50" t="s">
        <v>1237</v>
      </c>
    </row>
    <row r="51" spans="1:7" x14ac:dyDescent="0.25">
      <c r="A51">
        <v>1615</v>
      </c>
      <c r="B51">
        <v>2022</v>
      </c>
      <c r="C51" t="s">
        <v>1019</v>
      </c>
      <c r="D51" t="s">
        <v>208</v>
      </c>
      <c r="E51" t="s">
        <v>1244</v>
      </c>
      <c r="F51" t="s">
        <v>1034</v>
      </c>
      <c r="G51" t="s">
        <v>1700</v>
      </c>
    </row>
    <row r="52" spans="1:7" x14ac:dyDescent="0.25">
      <c r="A52">
        <v>1614</v>
      </c>
      <c r="B52">
        <v>2022</v>
      </c>
      <c r="C52" t="s">
        <v>1019</v>
      </c>
      <c r="D52" t="s">
        <v>208</v>
      </c>
      <c r="E52" t="s">
        <v>1241</v>
      </c>
      <c r="F52" t="s">
        <v>1038</v>
      </c>
      <c r="G52" t="s">
        <v>1039</v>
      </c>
    </row>
    <row r="53" spans="1:7" x14ac:dyDescent="0.25">
      <c r="A53">
        <v>1611</v>
      </c>
      <c r="B53">
        <v>2022</v>
      </c>
      <c r="C53" t="s">
        <v>1019</v>
      </c>
      <c r="D53" t="s">
        <v>208</v>
      </c>
      <c r="E53" t="s">
        <v>1238</v>
      </c>
      <c r="F53" t="s">
        <v>1061</v>
      </c>
      <c r="G53" t="s">
        <v>1912</v>
      </c>
    </row>
    <row r="54" spans="1:7" x14ac:dyDescent="0.25">
      <c r="A54">
        <v>1357</v>
      </c>
      <c r="B54">
        <v>2022</v>
      </c>
      <c r="C54" t="s">
        <v>1019</v>
      </c>
      <c r="D54" t="s">
        <v>237</v>
      </c>
      <c r="E54" t="s">
        <v>1029</v>
      </c>
      <c r="F54" t="s">
        <v>1021</v>
      </c>
      <c r="G54" t="s">
        <v>1026</v>
      </c>
    </row>
    <row r="55" spans="1:7" x14ac:dyDescent="0.25">
      <c r="A55">
        <v>1356</v>
      </c>
      <c r="B55">
        <v>2022</v>
      </c>
      <c r="C55" t="s">
        <v>1019</v>
      </c>
      <c r="D55" t="s">
        <v>237</v>
      </c>
      <c r="E55" t="s">
        <v>1028</v>
      </c>
      <c r="F55" t="s">
        <v>1024</v>
      </c>
      <c r="G55" t="s">
        <v>1025</v>
      </c>
    </row>
    <row r="56" spans="1:7" x14ac:dyDescent="0.25">
      <c r="A56">
        <v>1359</v>
      </c>
      <c r="B56">
        <v>2022</v>
      </c>
      <c r="C56" t="s">
        <v>1019</v>
      </c>
      <c r="D56" t="s">
        <v>237</v>
      </c>
      <c r="E56" t="s">
        <v>1031</v>
      </c>
      <c r="F56" t="s">
        <v>1022</v>
      </c>
      <c r="G56" t="s">
        <v>1023</v>
      </c>
    </row>
    <row r="57" spans="1:7" x14ac:dyDescent="0.25">
      <c r="A57">
        <v>1358</v>
      </c>
      <c r="B57">
        <v>2022</v>
      </c>
      <c r="C57" t="s">
        <v>1019</v>
      </c>
      <c r="D57" t="s">
        <v>237</v>
      </c>
      <c r="E57" t="s">
        <v>1030</v>
      </c>
      <c r="F57" t="s">
        <v>1022</v>
      </c>
      <c r="G57" t="s">
        <v>1023</v>
      </c>
    </row>
    <row r="58" spans="1:7" x14ac:dyDescent="0.25">
      <c r="A58">
        <v>1355</v>
      </c>
      <c r="B58">
        <v>2022</v>
      </c>
      <c r="C58" t="s">
        <v>1019</v>
      </c>
      <c r="D58" t="s">
        <v>237</v>
      </c>
      <c r="E58" t="s">
        <v>1027</v>
      </c>
      <c r="F58" t="s">
        <v>1022</v>
      </c>
      <c r="G58" t="s">
        <v>1023</v>
      </c>
    </row>
    <row r="59" spans="1:7" x14ac:dyDescent="0.25">
      <c r="A59">
        <v>1453</v>
      </c>
      <c r="B59">
        <v>2022</v>
      </c>
      <c r="C59" t="s">
        <v>1019</v>
      </c>
      <c r="D59" t="s">
        <v>170</v>
      </c>
      <c r="E59" t="s">
        <v>1118</v>
      </c>
      <c r="F59" t="s">
        <v>1021</v>
      </c>
      <c r="G59" t="s">
        <v>1910</v>
      </c>
    </row>
    <row r="60" spans="1:7" x14ac:dyDescent="0.25">
      <c r="A60">
        <v>1452</v>
      </c>
      <c r="B60">
        <v>2022</v>
      </c>
      <c r="C60" t="s">
        <v>1019</v>
      </c>
      <c r="D60" t="s">
        <v>170</v>
      </c>
      <c r="E60" t="s">
        <v>1117</v>
      </c>
      <c r="F60" t="s">
        <v>1038</v>
      </c>
      <c r="G60" t="s">
        <v>1046</v>
      </c>
    </row>
    <row r="61" spans="1:7" x14ac:dyDescent="0.25">
      <c r="A61">
        <v>1454</v>
      </c>
      <c r="B61">
        <v>2022</v>
      </c>
      <c r="C61" t="s">
        <v>1019</v>
      </c>
      <c r="D61" t="s">
        <v>170</v>
      </c>
      <c r="E61" t="s">
        <v>1119</v>
      </c>
      <c r="F61" t="s">
        <v>1021</v>
      </c>
      <c r="G61" t="s">
        <v>70</v>
      </c>
    </row>
    <row r="62" spans="1:7" x14ac:dyDescent="0.25">
      <c r="A62">
        <v>1450</v>
      </c>
      <c r="B62">
        <v>2022</v>
      </c>
      <c r="C62" t="s">
        <v>1019</v>
      </c>
      <c r="D62" t="s">
        <v>170</v>
      </c>
      <c r="E62" t="s">
        <v>1115</v>
      </c>
      <c r="F62" t="s">
        <v>1034</v>
      </c>
      <c r="G62" t="s">
        <v>1700</v>
      </c>
    </row>
    <row r="63" spans="1:7" x14ac:dyDescent="0.25">
      <c r="A63">
        <v>1449</v>
      </c>
      <c r="B63">
        <v>2022</v>
      </c>
      <c r="C63" t="s">
        <v>1019</v>
      </c>
      <c r="D63" t="s">
        <v>170</v>
      </c>
      <c r="E63" t="s">
        <v>1114</v>
      </c>
      <c r="F63" t="s">
        <v>1024</v>
      </c>
      <c r="G63" t="s">
        <v>1911</v>
      </c>
    </row>
    <row r="64" spans="1:7" x14ac:dyDescent="0.25">
      <c r="A64">
        <v>1451</v>
      </c>
      <c r="B64">
        <v>2022</v>
      </c>
      <c r="C64" t="s">
        <v>1019</v>
      </c>
      <c r="D64" t="s">
        <v>170</v>
      </c>
      <c r="E64" t="s">
        <v>1116</v>
      </c>
      <c r="F64" t="s">
        <v>1024</v>
      </c>
      <c r="G64" t="s">
        <v>172</v>
      </c>
    </row>
    <row r="65" spans="1:7" x14ac:dyDescent="0.25">
      <c r="A65">
        <v>1492</v>
      </c>
      <c r="B65">
        <v>2022</v>
      </c>
      <c r="C65" t="s">
        <v>1019</v>
      </c>
      <c r="D65" t="s">
        <v>246</v>
      </c>
      <c r="E65" t="s">
        <v>1143</v>
      </c>
      <c r="F65" t="s">
        <v>1034</v>
      </c>
      <c r="G65" t="s">
        <v>1035</v>
      </c>
    </row>
    <row r="66" spans="1:7" x14ac:dyDescent="0.25">
      <c r="A66">
        <v>1490</v>
      </c>
      <c r="B66">
        <v>2022</v>
      </c>
      <c r="C66" t="s">
        <v>1019</v>
      </c>
      <c r="D66" t="s">
        <v>246</v>
      </c>
      <c r="E66" t="s">
        <v>1141</v>
      </c>
      <c r="F66" t="s">
        <v>1034</v>
      </c>
      <c r="G66" t="s">
        <v>1035</v>
      </c>
    </row>
    <row r="67" spans="1:7" x14ac:dyDescent="0.25">
      <c r="A67">
        <v>1497</v>
      </c>
      <c r="B67">
        <v>2022</v>
      </c>
      <c r="C67" t="s">
        <v>1019</v>
      </c>
      <c r="D67" t="s">
        <v>246</v>
      </c>
      <c r="E67" t="s">
        <v>1149</v>
      </c>
      <c r="F67" t="s">
        <v>1021</v>
      </c>
      <c r="G67" t="s">
        <v>1910</v>
      </c>
    </row>
    <row r="68" spans="1:7" x14ac:dyDescent="0.25">
      <c r="A68">
        <v>1495</v>
      </c>
      <c r="B68">
        <v>2022</v>
      </c>
      <c r="C68" t="s">
        <v>1019</v>
      </c>
      <c r="D68" t="s">
        <v>246</v>
      </c>
      <c r="E68" t="s">
        <v>1146</v>
      </c>
      <c r="F68" t="s">
        <v>1021</v>
      </c>
      <c r="G68" t="s">
        <v>70</v>
      </c>
    </row>
    <row r="69" spans="1:7" x14ac:dyDescent="0.25">
      <c r="A69">
        <v>1494</v>
      </c>
      <c r="B69">
        <v>2022</v>
      </c>
      <c r="C69" t="s">
        <v>1019</v>
      </c>
      <c r="D69" t="s">
        <v>246</v>
      </c>
      <c r="E69" t="s">
        <v>1145</v>
      </c>
      <c r="F69" t="s">
        <v>1038</v>
      </c>
      <c r="G69" t="s">
        <v>1039</v>
      </c>
    </row>
    <row r="70" spans="1:7" x14ac:dyDescent="0.25">
      <c r="A70">
        <v>1493</v>
      </c>
      <c r="B70">
        <v>2022</v>
      </c>
      <c r="C70" t="s">
        <v>1019</v>
      </c>
      <c r="D70" t="s">
        <v>246</v>
      </c>
      <c r="E70" t="s">
        <v>1147</v>
      </c>
      <c r="F70" t="s">
        <v>1061</v>
      </c>
      <c r="G70" t="s">
        <v>1912</v>
      </c>
    </row>
    <row r="71" spans="1:7" x14ac:dyDescent="0.25">
      <c r="A71">
        <v>1491</v>
      </c>
      <c r="B71">
        <v>2022</v>
      </c>
      <c r="C71" t="s">
        <v>1019</v>
      </c>
      <c r="D71" t="s">
        <v>246</v>
      </c>
      <c r="E71" t="s">
        <v>1142</v>
      </c>
      <c r="F71" t="s">
        <v>1061</v>
      </c>
      <c r="G71" t="s">
        <v>1912</v>
      </c>
    </row>
    <row r="72" spans="1:7" x14ac:dyDescent="0.25">
      <c r="A72">
        <v>1563</v>
      </c>
      <c r="B72">
        <v>2022</v>
      </c>
      <c r="C72" t="s">
        <v>1019</v>
      </c>
      <c r="D72" t="s">
        <v>279</v>
      </c>
      <c r="E72" t="s">
        <v>1205</v>
      </c>
      <c r="F72" t="s">
        <v>1061</v>
      </c>
      <c r="G72" t="s">
        <v>1062</v>
      </c>
    </row>
    <row r="73" spans="1:7" x14ac:dyDescent="0.25">
      <c r="A73">
        <v>1556</v>
      </c>
      <c r="B73">
        <v>2022</v>
      </c>
      <c r="C73" t="s">
        <v>1019</v>
      </c>
      <c r="D73" t="s">
        <v>279</v>
      </c>
      <c r="E73" t="s">
        <v>1199</v>
      </c>
      <c r="F73" t="s">
        <v>1041</v>
      </c>
      <c r="G73" t="s">
        <v>1191</v>
      </c>
    </row>
    <row r="74" spans="1:7" x14ac:dyDescent="0.25">
      <c r="A74">
        <v>1555</v>
      </c>
      <c r="B74">
        <v>2022</v>
      </c>
      <c r="C74" t="s">
        <v>1019</v>
      </c>
      <c r="D74" t="s">
        <v>279</v>
      </c>
      <c r="E74" t="s">
        <v>1198</v>
      </c>
      <c r="F74" t="s">
        <v>1041</v>
      </c>
      <c r="G74" t="s">
        <v>1191</v>
      </c>
    </row>
    <row r="75" spans="1:7" x14ac:dyDescent="0.25">
      <c r="A75">
        <v>1559</v>
      </c>
      <c r="B75">
        <v>2022</v>
      </c>
      <c r="C75" t="s">
        <v>1019</v>
      </c>
      <c r="D75" t="s">
        <v>279</v>
      </c>
      <c r="E75" t="s">
        <v>1201</v>
      </c>
      <c r="F75" t="s">
        <v>1021</v>
      </c>
      <c r="G75" t="s">
        <v>1910</v>
      </c>
    </row>
    <row r="76" spans="1:7" x14ac:dyDescent="0.25">
      <c r="A76">
        <v>1562</v>
      </c>
      <c r="B76">
        <v>2022</v>
      </c>
      <c r="C76" t="s">
        <v>1019</v>
      </c>
      <c r="D76" t="s">
        <v>279</v>
      </c>
      <c r="E76" t="s">
        <v>1204</v>
      </c>
      <c r="F76" t="s">
        <v>1038</v>
      </c>
      <c r="G76" t="s">
        <v>1046</v>
      </c>
    </row>
    <row r="77" spans="1:7" x14ac:dyDescent="0.25">
      <c r="A77">
        <v>1560</v>
      </c>
      <c r="B77">
        <v>2022</v>
      </c>
      <c r="C77" t="s">
        <v>1019</v>
      </c>
      <c r="D77" t="s">
        <v>279</v>
      </c>
      <c r="E77" t="s">
        <v>1202</v>
      </c>
      <c r="F77" t="s">
        <v>1038</v>
      </c>
      <c r="G77" t="s">
        <v>1046</v>
      </c>
    </row>
    <row r="78" spans="1:7" x14ac:dyDescent="0.25">
      <c r="A78">
        <v>1561</v>
      </c>
      <c r="B78">
        <v>2022</v>
      </c>
      <c r="C78" t="s">
        <v>1019</v>
      </c>
      <c r="D78" t="s">
        <v>279</v>
      </c>
      <c r="E78" t="s">
        <v>1203</v>
      </c>
      <c r="F78" t="s">
        <v>1021</v>
      </c>
      <c r="G78" t="s">
        <v>70</v>
      </c>
    </row>
    <row r="79" spans="1:7" x14ac:dyDescent="0.25">
      <c r="A79">
        <v>1557</v>
      </c>
      <c r="B79">
        <v>2022</v>
      </c>
      <c r="C79" t="s">
        <v>1019</v>
      </c>
      <c r="D79" t="s">
        <v>279</v>
      </c>
      <c r="E79" t="s">
        <v>1200</v>
      </c>
      <c r="F79" t="s">
        <v>1034</v>
      </c>
      <c r="G79" t="s">
        <v>1700</v>
      </c>
    </row>
    <row r="80" spans="1:7" x14ac:dyDescent="0.25">
      <c r="A80">
        <v>1554</v>
      </c>
      <c r="B80">
        <v>2022</v>
      </c>
      <c r="C80" t="s">
        <v>1019</v>
      </c>
      <c r="D80" t="s">
        <v>279</v>
      </c>
      <c r="E80" t="s">
        <v>1189</v>
      </c>
      <c r="F80" t="s">
        <v>1041</v>
      </c>
      <c r="G80" t="s">
        <v>43</v>
      </c>
    </row>
    <row r="81" spans="1:7" x14ac:dyDescent="0.25">
      <c r="A81">
        <v>1437</v>
      </c>
      <c r="B81">
        <v>2022</v>
      </c>
      <c r="C81" t="s">
        <v>1019</v>
      </c>
      <c r="D81" t="s">
        <v>306</v>
      </c>
      <c r="E81" t="s">
        <v>1109</v>
      </c>
      <c r="F81" t="s">
        <v>1061</v>
      </c>
      <c r="G81" t="s">
        <v>1062</v>
      </c>
    </row>
    <row r="82" spans="1:7" x14ac:dyDescent="0.25">
      <c r="A82">
        <v>1442</v>
      </c>
      <c r="B82">
        <v>2022</v>
      </c>
      <c r="C82" t="s">
        <v>1019</v>
      </c>
      <c r="D82" t="s">
        <v>306</v>
      </c>
      <c r="E82" t="s">
        <v>1113</v>
      </c>
      <c r="F82" t="s">
        <v>1034</v>
      </c>
      <c r="G82" t="s">
        <v>1035</v>
      </c>
    </row>
    <row r="83" spans="1:7" x14ac:dyDescent="0.25">
      <c r="A83">
        <v>1440</v>
      </c>
      <c r="B83">
        <v>2022</v>
      </c>
      <c r="C83" t="s">
        <v>1019</v>
      </c>
      <c r="D83" t="s">
        <v>306</v>
      </c>
      <c r="E83" t="s">
        <v>1111</v>
      </c>
      <c r="F83" t="s">
        <v>1022</v>
      </c>
      <c r="G83" t="s">
        <v>10</v>
      </c>
    </row>
    <row r="84" spans="1:7" x14ac:dyDescent="0.25">
      <c r="A84">
        <v>1443</v>
      </c>
      <c r="B84">
        <v>2022</v>
      </c>
      <c r="C84" t="s">
        <v>1019</v>
      </c>
      <c r="D84" t="s">
        <v>306</v>
      </c>
      <c r="E84" t="s">
        <v>1095</v>
      </c>
      <c r="F84" t="s">
        <v>1021</v>
      </c>
      <c r="G84" t="s">
        <v>1910</v>
      </c>
    </row>
    <row r="85" spans="1:7" x14ac:dyDescent="0.25">
      <c r="A85">
        <v>1433</v>
      </c>
      <c r="B85">
        <v>2022</v>
      </c>
      <c r="C85" t="s">
        <v>1019</v>
      </c>
      <c r="D85" t="s">
        <v>306</v>
      </c>
      <c r="E85" t="s">
        <v>1106</v>
      </c>
      <c r="F85" t="s">
        <v>1021</v>
      </c>
      <c r="G85" t="s">
        <v>1910</v>
      </c>
    </row>
    <row r="86" spans="1:7" x14ac:dyDescent="0.25">
      <c r="A86">
        <v>1436</v>
      </c>
      <c r="B86">
        <v>2022</v>
      </c>
      <c r="C86" t="s">
        <v>1019</v>
      </c>
      <c r="D86" t="s">
        <v>306</v>
      </c>
      <c r="E86" t="s">
        <v>1108</v>
      </c>
      <c r="F86" t="s">
        <v>1021</v>
      </c>
      <c r="G86" t="s">
        <v>1050</v>
      </c>
    </row>
    <row r="87" spans="1:7" ht="150" x14ac:dyDescent="0.25">
      <c r="A87">
        <v>1435</v>
      </c>
      <c r="B87">
        <v>2022</v>
      </c>
      <c r="C87" t="s">
        <v>1019</v>
      </c>
      <c r="D87" t="s">
        <v>306</v>
      </c>
      <c r="E87" s="149" t="s">
        <v>1082</v>
      </c>
      <c r="F87" t="s">
        <v>1021</v>
      </c>
      <c r="G87" t="s">
        <v>1050</v>
      </c>
    </row>
    <row r="88" spans="1:7" x14ac:dyDescent="0.25">
      <c r="A88">
        <v>1429</v>
      </c>
      <c r="B88">
        <v>2022</v>
      </c>
      <c r="C88" t="s">
        <v>1019</v>
      </c>
      <c r="D88" t="s">
        <v>306</v>
      </c>
      <c r="E88" t="s">
        <v>1102</v>
      </c>
      <c r="F88" t="s">
        <v>1038</v>
      </c>
      <c r="G88" t="s">
        <v>1046</v>
      </c>
    </row>
    <row r="89" spans="1:7" ht="315" x14ac:dyDescent="0.25">
      <c r="A89">
        <v>1428</v>
      </c>
      <c r="B89">
        <v>2022</v>
      </c>
      <c r="C89" t="s">
        <v>1019</v>
      </c>
      <c r="D89" t="s">
        <v>306</v>
      </c>
      <c r="E89" s="149" t="s">
        <v>1101</v>
      </c>
      <c r="F89" t="s">
        <v>1038</v>
      </c>
      <c r="G89" t="s">
        <v>1046</v>
      </c>
    </row>
    <row r="90" spans="1:7" x14ac:dyDescent="0.25">
      <c r="A90">
        <v>1432</v>
      </c>
      <c r="B90">
        <v>2022</v>
      </c>
      <c r="C90" t="s">
        <v>1019</v>
      </c>
      <c r="D90" t="s">
        <v>306</v>
      </c>
      <c r="E90" t="s">
        <v>1105</v>
      </c>
      <c r="F90" t="s">
        <v>1021</v>
      </c>
      <c r="G90" t="s">
        <v>70</v>
      </c>
    </row>
    <row r="91" spans="1:7" x14ac:dyDescent="0.25">
      <c r="A91">
        <v>1431</v>
      </c>
      <c r="B91">
        <v>2022</v>
      </c>
      <c r="C91" t="s">
        <v>1019</v>
      </c>
      <c r="D91" t="s">
        <v>306</v>
      </c>
      <c r="E91" t="s">
        <v>1104</v>
      </c>
      <c r="F91" t="s">
        <v>1021</v>
      </c>
      <c r="G91" t="s">
        <v>70</v>
      </c>
    </row>
    <row r="92" spans="1:7" x14ac:dyDescent="0.25">
      <c r="A92">
        <v>1424</v>
      </c>
      <c r="B92">
        <v>2022</v>
      </c>
      <c r="C92" t="s">
        <v>1019</v>
      </c>
      <c r="D92" t="s">
        <v>306</v>
      </c>
      <c r="E92" t="s">
        <v>1079</v>
      </c>
      <c r="F92" t="s">
        <v>1024</v>
      </c>
      <c r="G92" t="s">
        <v>1911</v>
      </c>
    </row>
    <row r="93" spans="1:7" x14ac:dyDescent="0.25">
      <c r="A93">
        <v>1439</v>
      </c>
      <c r="B93">
        <v>2022</v>
      </c>
      <c r="C93" t="s">
        <v>1019</v>
      </c>
      <c r="D93" t="s">
        <v>306</v>
      </c>
      <c r="E93" t="s">
        <v>1110</v>
      </c>
      <c r="F93" t="s">
        <v>1041</v>
      </c>
      <c r="G93" t="s">
        <v>43</v>
      </c>
    </row>
    <row r="94" spans="1:7" x14ac:dyDescent="0.25">
      <c r="A94">
        <v>1425</v>
      </c>
      <c r="B94">
        <v>2022</v>
      </c>
      <c r="C94" t="s">
        <v>1019</v>
      </c>
      <c r="D94" t="s">
        <v>306</v>
      </c>
      <c r="E94" t="s">
        <v>1080</v>
      </c>
      <c r="F94" t="s">
        <v>1041</v>
      </c>
      <c r="G94" t="s">
        <v>43</v>
      </c>
    </row>
    <row r="95" spans="1:7" x14ac:dyDescent="0.25">
      <c r="A95">
        <v>1441</v>
      </c>
      <c r="B95">
        <v>2022</v>
      </c>
      <c r="C95" t="s">
        <v>1019</v>
      </c>
      <c r="D95" t="s">
        <v>306</v>
      </c>
      <c r="E95" t="s">
        <v>1112</v>
      </c>
      <c r="F95" t="s">
        <v>1024</v>
      </c>
      <c r="G95" t="s">
        <v>172</v>
      </c>
    </row>
    <row r="96" spans="1:7" x14ac:dyDescent="0.25">
      <c r="A96">
        <v>1430</v>
      </c>
      <c r="B96">
        <v>2022</v>
      </c>
      <c r="C96" t="s">
        <v>1019</v>
      </c>
      <c r="D96" t="s">
        <v>306</v>
      </c>
      <c r="E96" t="s">
        <v>1103</v>
      </c>
      <c r="F96" t="s">
        <v>1038</v>
      </c>
      <c r="G96" t="s">
        <v>1039</v>
      </c>
    </row>
    <row r="97" spans="1:7" x14ac:dyDescent="0.25">
      <c r="A97">
        <v>1434</v>
      </c>
      <c r="B97">
        <v>2022</v>
      </c>
      <c r="C97" t="s">
        <v>1019</v>
      </c>
      <c r="D97" t="s">
        <v>306</v>
      </c>
      <c r="E97" t="s">
        <v>1107</v>
      </c>
      <c r="F97" t="s">
        <v>1061</v>
      </c>
      <c r="G97" t="s">
        <v>1912</v>
      </c>
    </row>
    <row r="98" spans="1:7" x14ac:dyDescent="0.25">
      <c r="A98">
        <v>1693</v>
      </c>
      <c r="B98">
        <v>2022</v>
      </c>
      <c r="C98" t="s">
        <v>1019</v>
      </c>
      <c r="D98" t="s">
        <v>541</v>
      </c>
      <c r="E98" t="s">
        <v>1297</v>
      </c>
      <c r="F98" t="s">
        <v>1038</v>
      </c>
      <c r="G98" t="s">
        <v>1046</v>
      </c>
    </row>
    <row r="99" spans="1:7" x14ac:dyDescent="0.25">
      <c r="A99">
        <v>1686</v>
      </c>
      <c r="B99">
        <v>2022</v>
      </c>
      <c r="C99" t="s">
        <v>1019</v>
      </c>
      <c r="D99" t="s">
        <v>541</v>
      </c>
      <c r="E99" t="s">
        <v>1291</v>
      </c>
      <c r="F99" t="s">
        <v>1038</v>
      </c>
      <c r="G99" t="s">
        <v>1046</v>
      </c>
    </row>
    <row r="100" spans="1:7" x14ac:dyDescent="0.25">
      <c r="A100">
        <v>1688</v>
      </c>
      <c r="B100">
        <v>2022</v>
      </c>
      <c r="C100" t="s">
        <v>1019</v>
      </c>
      <c r="D100" t="s">
        <v>541</v>
      </c>
      <c r="E100" t="s">
        <v>1292</v>
      </c>
      <c r="F100" t="s">
        <v>1021</v>
      </c>
      <c r="G100" t="s">
        <v>70</v>
      </c>
    </row>
    <row r="101" spans="1:7" x14ac:dyDescent="0.25">
      <c r="A101">
        <v>1691</v>
      </c>
      <c r="B101">
        <v>2022</v>
      </c>
      <c r="C101" t="s">
        <v>1019</v>
      </c>
      <c r="D101" t="s">
        <v>541</v>
      </c>
      <c r="E101" t="s">
        <v>1295</v>
      </c>
      <c r="F101" t="s">
        <v>1034</v>
      </c>
      <c r="G101" t="s">
        <v>1700</v>
      </c>
    </row>
    <row r="102" spans="1:7" x14ac:dyDescent="0.25">
      <c r="A102">
        <v>1689</v>
      </c>
      <c r="B102">
        <v>2022</v>
      </c>
      <c r="C102" t="s">
        <v>1019</v>
      </c>
      <c r="D102" t="s">
        <v>541</v>
      </c>
      <c r="E102" t="s">
        <v>1293</v>
      </c>
      <c r="F102" t="s">
        <v>1041</v>
      </c>
      <c r="G102" t="s">
        <v>43</v>
      </c>
    </row>
    <row r="103" spans="1:7" x14ac:dyDescent="0.25">
      <c r="A103">
        <v>1692</v>
      </c>
      <c r="B103">
        <v>2022</v>
      </c>
      <c r="C103" t="s">
        <v>1019</v>
      </c>
      <c r="D103" t="s">
        <v>541</v>
      </c>
      <c r="E103" t="s">
        <v>1296</v>
      </c>
      <c r="F103" t="s">
        <v>1061</v>
      </c>
      <c r="G103" t="s">
        <v>1912</v>
      </c>
    </row>
    <row r="104" spans="1:7" x14ac:dyDescent="0.25">
      <c r="A104">
        <v>1690</v>
      </c>
      <c r="B104">
        <v>2022</v>
      </c>
      <c r="C104" t="s">
        <v>1019</v>
      </c>
      <c r="D104" t="s">
        <v>541</v>
      </c>
      <c r="E104" t="s">
        <v>1294</v>
      </c>
      <c r="F104" t="s">
        <v>1061</v>
      </c>
      <c r="G104" t="s">
        <v>1912</v>
      </c>
    </row>
    <row r="105" spans="1:7" x14ac:dyDescent="0.25">
      <c r="A105">
        <v>1402</v>
      </c>
      <c r="B105">
        <v>2022</v>
      </c>
      <c r="C105" t="s">
        <v>1019</v>
      </c>
      <c r="D105" t="s">
        <v>380</v>
      </c>
      <c r="E105" t="s">
        <v>1073</v>
      </c>
      <c r="F105" t="s">
        <v>1021</v>
      </c>
      <c r="G105" t="s">
        <v>1910</v>
      </c>
    </row>
    <row r="106" spans="1:7" x14ac:dyDescent="0.25">
      <c r="A106">
        <v>1400</v>
      </c>
      <c r="B106">
        <v>2022</v>
      </c>
      <c r="C106" t="s">
        <v>1019</v>
      </c>
      <c r="D106" t="s">
        <v>380</v>
      </c>
      <c r="E106" t="s">
        <v>1076</v>
      </c>
      <c r="F106" t="s">
        <v>1021</v>
      </c>
      <c r="G106" t="s">
        <v>1910</v>
      </c>
    </row>
    <row r="107" spans="1:7" x14ac:dyDescent="0.25">
      <c r="A107">
        <v>1403</v>
      </c>
      <c r="B107">
        <v>2022</v>
      </c>
      <c r="C107" t="s">
        <v>1019</v>
      </c>
      <c r="D107" t="s">
        <v>380</v>
      </c>
      <c r="E107" t="s">
        <v>1078</v>
      </c>
      <c r="F107" t="s">
        <v>1038</v>
      </c>
      <c r="G107" t="s">
        <v>1051</v>
      </c>
    </row>
    <row r="108" spans="1:7" x14ac:dyDescent="0.25">
      <c r="A108">
        <v>1401</v>
      </c>
      <c r="B108">
        <v>2022</v>
      </c>
      <c r="C108" t="s">
        <v>1019</v>
      </c>
      <c r="D108" t="s">
        <v>380</v>
      </c>
      <c r="E108" t="s">
        <v>1077</v>
      </c>
      <c r="F108" t="s">
        <v>1021</v>
      </c>
      <c r="G108" t="s">
        <v>70</v>
      </c>
    </row>
    <row r="109" spans="1:7" x14ac:dyDescent="0.25">
      <c r="A109">
        <v>1399</v>
      </c>
      <c r="B109">
        <v>2022</v>
      </c>
      <c r="C109" t="s">
        <v>1019</v>
      </c>
      <c r="D109" t="s">
        <v>380</v>
      </c>
      <c r="E109" t="s">
        <v>1075</v>
      </c>
      <c r="F109" t="s">
        <v>1022</v>
      </c>
      <c r="G109" t="s">
        <v>1072</v>
      </c>
    </row>
    <row r="110" spans="1:7" x14ac:dyDescent="0.25">
      <c r="A110">
        <v>1525</v>
      </c>
      <c r="B110">
        <v>2022</v>
      </c>
      <c r="C110" t="s">
        <v>1019</v>
      </c>
      <c r="D110" t="s">
        <v>391</v>
      </c>
      <c r="E110" t="s">
        <v>1166</v>
      </c>
      <c r="F110" t="s">
        <v>1021</v>
      </c>
      <c r="G110" t="s">
        <v>1910</v>
      </c>
    </row>
    <row r="111" spans="1:7" x14ac:dyDescent="0.25">
      <c r="A111">
        <v>1527</v>
      </c>
      <c r="B111">
        <v>2022</v>
      </c>
      <c r="C111" t="s">
        <v>1019</v>
      </c>
      <c r="D111" t="s">
        <v>391</v>
      </c>
      <c r="E111" t="s">
        <v>1170</v>
      </c>
      <c r="F111" t="s">
        <v>1021</v>
      </c>
      <c r="G111" t="s">
        <v>1050</v>
      </c>
    </row>
    <row r="112" spans="1:7" x14ac:dyDescent="0.25">
      <c r="A112">
        <v>1526</v>
      </c>
      <c r="B112">
        <v>2022</v>
      </c>
      <c r="C112" t="s">
        <v>1019</v>
      </c>
      <c r="D112" t="s">
        <v>391</v>
      </c>
      <c r="E112" t="s">
        <v>1167</v>
      </c>
      <c r="F112" t="s">
        <v>1038</v>
      </c>
      <c r="G112" t="s">
        <v>1039</v>
      </c>
    </row>
    <row r="113" spans="1:7" x14ac:dyDescent="0.25">
      <c r="A113">
        <v>1367</v>
      </c>
      <c r="B113">
        <v>2022</v>
      </c>
      <c r="C113" t="s">
        <v>1019</v>
      </c>
      <c r="D113" t="s">
        <v>409</v>
      </c>
      <c r="E113" t="s">
        <v>1033</v>
      </c>
      <c r="F113" t="s">
        <v>1034</v>
      </c>
      <c r="G113" t="s">
        <v>1035</v>
      </c>
    </row>
    <row r="114" spans="1:7" x14ac:dyDescent="0.25">
      <c r="A114">
        <v>1370</v>
      </c>
      <c r="B114">
        <v>2022</v>
      </c>
      <c r="C114" t="s">
        <v>1019</v>
      </c>
      <c r="D114" t="s">
        <v>409</v>
      </c>
      <c r="E114" t="s">
        <v>1040</v>
      </c>
      <c r="F114" t="s">
        <v>1041</v>
      </c>
      <c r="G114" t="s">
        <v>1042</v>
      </c>
    </row>
    <row r="115" spans="1:7" x14ac:dyDescent="0.25">
      <c r="A115">
        <v>1373</v>
      </c>
      <c r="B115">
        <v>2022</v>
      </c>
      <c r="C115" t="s">
        <v>1019</v>
      </c>
      <c r="D115" t="s">
        <v>409</v>
      </c>
      <c r="E115" t="s">
        <v>1045</v>
      </c>
      <c r="F115" t="s">
        <v>1038</v>
      </c>
      <c r="G115" t="s">
        <v>1046</v>
      </c>
    </row>
    <row r="116" spans="1:7" x14ac:dyDescent="0.25">
      <c r="A116">
        <v>1374</v>
      </c>
      <c r="B116">
        <v>2022</v>
      </c>
      <c r="C116" t="s">
        <v>1019</v>
      </c>
      <c r="D116" t="s">
        <v>409</v>
      </c>
      <c r="E116" t="s">
        <v>1048</v>
      </c>
      <c r="F116" t="s">
        <v>1021</v>
      </c>
      <c r="G116" t="s">
        <v>70</v>
      </c>
    </row>
    <row r="117" spans="1:7" x14ac:dyDescent="0.25">
      <c r="A117">
        <v>1368</v>
      </c>
      <c r="B117">
        <v>2022</v>
      </c>
      <c r="C117" t="s">
        <v>1019</v>
      </c>
      <c r="D117" t="s">
        <v>409</v>
      </c>
      <c r="E117" t="s">
        <v>1036</v>
      </c>
      <c r="F117" t="s">
        <v>1021</v>
      </c>
      <c r="G117" t="s">
        <v>70</v>
      </c>
    </row>
    <row r="118" spans="1:7" x14ac:dyDescent="0.25">
      <c r="A118">
        <v>1371</v>
      </c>
      <c r="B118">
        <v>2022</v>
      </c>
      <c r="C118" t="s">
        <v>1019</v>
      </c>
      <c r="D118" t="s">
        <v>409</v>
      </c>
      <c r="E118" t="s">
        <v>1043</v>
      </c>
      <c r="F118" t="s">
        <v>1041</v>
      </c>
      <c r="G118" t="s">
        <v>43</v>
      </c>
    </row>
    <row r="119" spans="1:7" x14ac:dyDescent="0.25">
      <c r="A119">
        <v>1372</v>
      </c>
      <c r="B119">
        <v>2022</v>
      </c>
      <c r="C119" t="s">
        <v>1019</v>
      </c>
      <c r="D119" t="s">
        <v>409</v>
      </c>
      <c r="E119" t="s">
        <v>1044</v>
      </c>
      <c r="F119" t="s">
        <v>1024</v>
      </c>
      <c r="G119" t="s">
        <v>172</v>
      </c>
    </row>
    <row r="120" spans="1:7" x14ac:dyDescent="0.25">
      <c r="A120">
        <v>1369</v>
      </c>
      <c r="B120">
        <v>2022</v>
      </c>
      <c r="C120" t="s">
        <v>1019</v>
      </c>
      <c r="D120" t="s">
        <v>409</v>
      </c>
      <c r="E120" t="s">
        <v>1047</v>
      </c>
      <c r="F120" t="s">
        <v>1038</v>
      </c>
      <c r="G120" t="s">
        <v>1039</v>
      </c>
    </row>
    <row r="121" spans="1:7" x14ac:dyDescent="0.25">
      <c r="A121">
        <v>1572</v>
      </c>
      <c r="B121">
        <v>2022</v>
      </c>
      <c r="C121" t="s">
        <v>1019</v>
      </c>
      <c r="D121" t="s">
        <v>423</v>
      </c>
      <c r="E121" t="s">
        <v>1210</v>
      </c>
      <c r="F121" t="s">
        <v>1061</v>
      </c>
      <c r="G121" t="s">
        <v>1062</v>
      </c>
    </row>
    <row r="122" spans="1:7" x14ac:dyDescent="0.25">
      <c r="A122">
        <v>1570</v>
      </c>
      <c r="B122">
        <v>2022</v>
      </c>
      <c r="C122" t="s">
        <v>1019</v>
      </c>
      <c r="D122" t="s">
        <v>423</v>
      </c>
      <c r="E122" t="s">
        <v>1207</v>
      </c>
      <c r="F122" t="s">
        <v>1034</v>
      </c>
      <c r="G122" t="s">
        <v>1035</v>
      </c>
    </row>
    <row r="123" spans="1:7" x14ac:dyDescent="0.25">
      <c r="A123">
        <v>1569</v>
      </c>
      <c r="B123">
        <v>2022</v>
      </c>
      <c r="C123" t="s">
        <v>1019</v>
      </c>
      <c r="D123" t="s">
        <v>423</v>
      </c>
      <c r="E123" t="s">
        <v>1206</v>
      </c>
      <c r="F123" t="s">
        <v>1038</v>
      </c>
      <c r="G123" t="s">
        <v>1046</v>
      </c>
    </row>
    <row r="124" spans="1:7" x14ac:dyDescent="0.25">
      <c r="A124">
        <v>1571</v>
      </c>
      <c r="B124">
        <v>2022</v>
      </c>
      <c r="C124" t="s">
        <v>1019</v>
      </c>
      <c r="D124" t="s">
        <v>423</v>
      </c>
      <c r="E124" t="s">
        <v>1208</v>
      </c>
      <c r="F124" t="s">
        <v>1021</v>
      </c>
      <c r="G124" t="s">
        <v>70</v>
      </c>
    </row>
    <row r="125" spans="1:7" x14ac:dyDescent="0.25">
      <c r="A125">
        <v>1684</v>
      </c>
      <c r="B125">
        <v>2022</v>
      </c>
      <c r="C125" t="s">
        <v>1019</v>
      </c>
      <c r="D125" t="s">
        <v>507</v>
      </c>
      <c r="E125" t="s">
        <v>1289</v>
      </c>
      <c r="F125" t="s">
        <v>1034</v>
      </c>
      <c r="G125" t="s">
        <v>1035</v>
      </c>
    </row>
    <row r="126" spans="1:7" x14ac:dyDescent="0.25">
      <c r="A126">
        <v>1678</v>
      </c>
      <c r="B126">
        <v>2022</v>
      </c>
      <c r="C126" t="s">
        <v>1019</v>
      </c>
      <c r="D126" t="s">
        <v>507</v>
      </c>
      <c r="E126" t="s">
        <v>1278</v>
      </c>
      <c r="F126" t="s">
        <v>1034</v>
      </c>
      <c r="G126" t="s">
        <v>1035</v>
      </c>
    </row>
    <row r="127" spans="1:7" x14ac:dyDescent="0.25">
      <c r="A127">
        <v>1681</v>
      </c>
      <c r="B127">
        <v>2022</v>
      </c>
      <c r="C127" t="s">
        <v>1019</v>
      </c>
      <c r="D127" t="s">
        <v>507</v>
      </c>
      <c r="E127" t="s">
        <v>1286</v>
      </c>
      <c r="F127" t="s">
        <v>1021</v>
      </c>
      <c r="G127" t="s">
        <v>1910</v>
      </c>
    </row>
    <row r="128" spans="1:7" x14ac:dyDescent="0.25">
      <c r="A128">
        <v>1676</v>
      </c>
      <c r="B128">
        <v>2022</v>
      </c>
      <c r="C128" t="s">
        <v>1019</v>
      </c>
      <c r="D128" t="s">
        <v>507</v>
      </c>
      <c r="E128" t="s">
        <v>1285</v>
      </c>
      <c r="F128" t="s">
        <v>1038</v>
      </c>
      <c r="G128" t="s">
        <v>1124</v>
      </c>
    </row>
    <row r="129" spans="1:7" x14ac:dyDescent="0.25">
      <c r="A129">
        <v>1683</v>
      </c>
      <c r="B129">
        <v>2022</v>
      </c>
      <c r="C129" t="s">
        <v>1019</v>
      </c>
      <c r="D129" t="s">
        <v>507</v>
      </c>
      <c r="E129" t="s">
        <v>1288</v>
      </c>
      <c r="F129" t="s">
        <v>1021</v>
      </c>
      <c r="G129" t="s">
        <v>70</v>
      </c>
    </row>
    <row r="130" spans="1:7" x14ac:dyDescent="0.25">
      <c r="A130">
        <v>1677</v>
      </c>
      <c r="B130">
        <v>2022</v>
      </c>
      <c r="C130" t="s">
        <v>1019</v>
      </c>
      <c r="D130" t="s">
        <v>507</v>
      </c>
      <c r="E130" t="s">
        <v>1280</v>
      </c>
      <c r="F130" t="s">
        <v>1021</v>
      </c>
      <c r="G130" t="s">
        <v>70</v>
      </c>
    </row>
    <row r="131" spans="1:7" x14ac:dyDescent="0.25">
      <c r="A131">
        <v>1682</v>
      </c>
      <c r="B131">
        <v>2022</v>
      </c>
      <c r="C131" t="s">
        <v>1019</v>
      </c>
      <c r="D131" t="s">
        <v>507</v>
      </c>
      <c r="E131" t="s">
        <v>1287</v>
      </c>
      <c r="F131" t="s">
        <v>1034</v>
      </c>
      <c r="G131" t="s">
        <v>1700</v>
      </c>
    </row>
    <row r="132" spans="1:7" x14ac:dyDescent="0.25">
      <c r="A132">
        <v>1509</v>
      </c>
      <c r="B132">
        <v>2022</v>
      </c>
      <c r="C132" t="s">
        <v>1019</v>
      </c>
      <c r="D132" t="s">
        <v>1150</v>
      </c>
      <c r="E132" t="s">
        <v>1156</v>
      </c>
      <c r="F132" t="s">
        <v>1061</v>
      </c>
      <c r="G132" t="s">
        <v>1062</v>
      </c>
    </row>
    <row r="133" spans="1:7" x14ac:dyDescent="0.25">
      <c r="A133">
        <v>1508</v>
      </c>
      <c r="B133">
        <v>2022</v>
      </c>
      <c r="C133" t="s">
        <v>1019</v>
      </c>
      <c r="D133" t="s">
        <v>1150</v>
      </c>
      <c r="E133" t="s">
        <v>1155</v>
      </c>
      <c r="F133" t="s">
        <v>1034</v>
      </c>
      <c r="G133" t="s">
        <v>1035</v>
      </c>
    </row>
    <row r="134" spans="1:7" x14ac:dyDescent="0.25">
      <c r="A134">
        <v>1506</v>
      </c>
      <c r="B134">
        <v>2022</v>
      </c>
      <c r="C134" t="s">
        <v>1019</v>
      </c>
      <c r="D134" t="s">
        <v>1150</v>
      </c>
      <c r="E134" t="s">
        <v>1152</v>
      </c>
      <c r="F134" t="s">
        <v>1021</v>
      </c>
      <c r="G134" t="s">
        <v>1050</v>
      </c>
    </row>
    <row r="135" spans="1:7" x14ac:dyDescent="0.25">
      <c r="A135">
        <v>1510</v>
      </c>
      <c r="B135">
        <v>2022</v>
      </c>
      <c r="C135" t="s">
        <v>1019</v>
      </c>
      <c r="D135" t="s">
        <v>1150</v>
      </c>
      <c r="E135" t="s">
        <v>1157</v>
      </c>
      <c r="F135" t="s">
        <v>1021</v>
      </c>
      <c r="G135" t="s">
        <v>70</v>
      </c>
    </row>
    <row r="136" spans="1:7" x14ac:dyDescent="0.25">
      <c r="A136">
        <v>1505</v>
      </c>
      <c r="B136">
        <v>2022</v>
      </c>
      <c r="C136" t="s">
        <v>1019</v>
      </c>
      <c r="D136" t="s">
        <v>1150</v>
      </c>
      <c r="E136" t="s">
        <v>1154</v>
      </c>
      <c r="F136" t="s">
        <v>1021</v>
      </c>
      <c r="G136" t="s">
        <v>70</v>
      </c>
    </row>
    <row r="137" spans="1:7" x14ac:dyDescent="0.25">
      <c r="A137">
        <v>1507</v>
      </c>
      <c r="B137">
        <v>2022</v>
      </c>
      <c r="C137" t="s">
        <v>1019</v>
      </c>
      <c r="D137" t="s">
        <v>1150</v>
      </c>
      <c r="E137" t="s">
        <v>1037</v>
      </c>
      <c r="F137" t="s">
        <v>1038</v>
      </c>
      <c r="G137" t="s">
        <v>1039</v>
      </c>
    </row>
    <row r="138" spans="1:7" x14ac:dyDescent="0.25">
      <c r="A138">
        <v>1628</v>
      </c>
      <c r="B138">
        <v>2022</v>
      </c>
      <c r="C138" t="s">
        <v>1019</v>
      </c>
      <c r="D138" t="s">
        <v>455</v>
      </c>
      <c r="E138" t="s">
        <v>1155</v>
      </c>
      <c r="F138" t="s">
        <v>1034</v>
      </c>
      <c r="G138" t="s">
        <v>1035</v>
      </c>
    </row>
    <row r="139" spans="1:7" x14ac:dyDescent="0.25">
      <c r="A139">
        <v>1626</v>
      </c>
      <c r="B139">
        <v>2022</v>
      </c>
      <c r="C139" t="s">
        <v>1019</v>
      </c>
      <c r="D139" t="s">
        <v>455</v>
      </c>
      <c r="E139" t="s">
        <v>1254</v>
      </c>
      <c r="F139" t="s">
        <v>1038</v>
      </c>
      <c r="G139" t="s">
        <v>1051</v>
      </c>
    </row>
    <row r="140" spans="1:7" x14ac:dyDescent="0.25">
      <c r="A140">
        <v>1631</v>
      </c>
      <c r="B140">
        <v>2022</v>
      </c>
      <c r="C140" t="s">
        <v>1019</v>
      </c>
      <c r="D140" t="s">
        <v>455</v>
      </c>
      <c r="E140" t="s">
        <v>1078</v>
      </c>
      <c r="F140" t="s">
        <v>1021</v>
      </c>
      <c r="G140" t="s">
        <v>70</v>
      </c>
    </row>
    <row r="141" spans="1:7" x14ac:dyDescent="0.25">
      <c r="A141">
        <v>1627</v>
      </c>
      <c r="B141">
        <v>2022</v>
      </c>
      <c r="C141" t="s">
        <v>1019</v>
      </c>
      <c r="D141" t="s">
        <v>455</v>
      </c>
      <c r="E141" t="s">
        <v>1037</v>
      </c>
      <c r="F141" t="s">
        <v>1038</v>
      </c>
      <c r="G141" t="s">
        <v>1039</v>
      </c>
    </row>
    <row r="142" spans="1:7" x14ac:dyDescent="0.25">
      <c r="A142">
        <v>1625</v>
      </c>
      <c r="B142">
        <v>2022</v>
      </c>
      <c r="C142" t="s">
        <v>1019</v>
      </c>
      <c r="D142" t="s">
        <v>455</v>
      </c>
      <c r="E142" t="s">
        <v>1253</v>
      </c>
      <c r="F142" t="s">
        <v>1061</v>
      </c>
      <c r="G142" t="s">
        <v>1912</v>
      </c>
    </row>
    <row r="143" spans="1:7" x14ac:dyDescent="0.25">
      <c r="A143">
        <v>1662</v>
      </c>
      <c r="B143">
        <v>2022</v>
      </c>
      <c r="C143" t="s">
        <v>1019</v>
      </c>
      <c r="D143" t="s">
        <v>481</v>
      </c>
      <c r="E143" t="s">
        <v>1271</v>
      </c>
      <c r="F143" t="s">
        <v>1034</v>
      </c>
      <c r="G143" t="s">
        <v>1035</v>
      </c>
    </row>
    <row r="144" spans="1:7" x14ac:dyDescent="0.25">
      <c r="A144">
        <v>1664</v>
      </c>
      <c r="B144">
        <v>2022</v>
      </c>
      <c r="C144" t="s">
        <v>1019</v>
      </c>
      <c r="D144" t="s">
        <v>481</v>
      </c>
      <c r="E144" t="s">
        <v>1273</v>
      </c>
      <c r="F144" t="s">
        <v>1021</v>
      </c>
      <c r="G144" t="s">
        <v>1910</v>
      </c>
    </row>
    <row r="145" spans="1:7" x14ac:dyDescent="0.25">
      <c r="A145">
        <v>1663</v>
      </c>
      <c r="B145">
        <v>2022</v>
      </c>
      <c r="C145" t="s">
        <v>1019</v>
      </c>
      <c r="D145" t="s">
        <v>481</v>
      </c>
      <c r="E145" t="s">
        <v>1272</v>
      </c>
      <c r="F145" t="s">
        <v>1038</v>
      </c>
      <c r="G145" t="s">
        <v>1051</v>
      </c>
    </row>
    <row r="146" spans="1:7" x14ac:dyDescent="0.25">
      <c r="A146">
        <v>1660</v>
      </c>
      <c r="B146">
        <v>2022</v>
      </c>
      <c r="C146" t="s">
        <v>1019</v>
      </c>
      <c r="D146" t="s">
        <v>481</v>
      </c>
      <c r="E146" t="s">
        <v>1269</v>
      </c>
      <c r="F146" t="s">
        <v>1038</v>
      </c>
      <c r="G146" t="s">
        <v>1051</v>
      </c>
    </row>
    <row r="147" spans="1:7" x14ac:dyDescent="0.25">
      <c r="A147">
        <v>1666</v>
      </c>
      <c r="B147">
        <v>2022</v>
      </c>
      <c r="C147" t="s">
        <v>1019</v>
      </c>
      <c r="D147" t="s">
        <v>481</v>
      </c>
      <c r="E147" t="s">
        <v>1275</v>
      </c>
      <c r="F147" t="s">
        <v>1021</v>
      </c>
      <c r="G147" t="s">
        <v>1237</v>
      </c>
    </row>
    <row r="148" spans="1:7" x14ac:dyDescent="0.25">
      <c r="A148">
        <v>1661</v>
      </c>
      <c r="B148">
        <v>2022</v>
      </c>
      <c r="C148" t="s">
        <v>1019</v>
      </c>
      <c r="D148" t="s">
        <v>481</v>
      </c>
      <c r="E148" t="s">
        <v>1270</v>
      </c>
      <c r="F148" t="s">
        <v>1021</v>
      </c>
      <c r="G148" t="s">
        <v>70</v>
      </c>
    </row>
    <row r="149" spans="1:7" x14ac:dyDescent="0.25">
      <c r="A149">
        <v>1668</v>
      </c>
      <c r="B149">
        <v>2022</v>
      </c>
      <c r="C149" t="s">
        <v>1019</v>
      </c>
      <c r="D149" t="s">
        <v>481</v>
      </c>
      <c r="E149" t="s">
        <v>1277</v>
      </c>
      <c r="F149" t="s">
        <v>1034</v>
      </c>
      <c r="G149" t="s">
        <v>1700</v>
      </c>
    </row>
    <row r="150" spans="1:7" x14ac:dyDescent="0.25">
      <c r="A150">
        <v>1667</v>
      </c>
      <c r="B150">
        <v>2022</v>
      </c>
      <c r="C150" t="s">
        <v>1019</v>
      </c>
      <c r="D150" t="s">
        <v>481</v>
      </c>
      <c r="E150" t="s">
        <v>1276</v>
      </c>
      <c r="F150" t="s">
        <v>1024</v>
      </c>
      <c r="G150" t="s">
        <v>487</v>
      </c>
    </row>
    <row r="151" spans="1:7" x14ac:dyDescent="0.25">
      <c r="A151">
        <v>1665</v>
      </c>
      <c r="B151">
        <v>2022</v>
      </c>
      <c r="C151" t="s">
        <v>1019</v>
      </c>
      <c r="D151" t="s">
        <v>481</v>
      </c>
      <c r="E151" t="s">
        <v>1274</v>
      </c>
      <c r="F151" t="s">
        <v>1024</v>
      </c>
      <c r="G151" t="s">
        <v>487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vt:i4>
      </vt:variant>
    </vt:vector>
  </HeadingPairs>
  <TitlesOfParts>
    <vt:vector size="15" baseType="lpstr">
      <vt:lpstr>ESPN. PESCD. 2023</vt:lpstr>
      <vt:lpstr>ESPN. PESCD. 2022</vt:lpstr>
      <vt:lpstr>DOFA CONSOLIDADO</vt:lpstr>
      <vt:lpstr>T.D. DEBLD</vt:lpstr>
      <vt:lpstr>T.D.AMENZ</vt:lpstr>
      <vt:lpstr>T.D. FORTLZ</vt:lpstr>
      <vt:lpstr>T.D. OPRTND</vt:lpstr>
      <vt:lpstr>ESPN. PESCD. 2024</vt:lpstr>
      <vt:lpstr>AMENAZAS 2022</vt:lpstr>
      <vt:lpstr>OPORTUNIDADES 2022</vt:lpstr>
      <vt:lpstr>DEBILIDADES 2022</vt:lpstr>
      <vt:lpstr>Hoja1</vt:lpstr>
      <vt:lpstr>DOFA_INST</vt:lpstr>
      <vt:lpstr>FORTALEZAS 2022</vt:lpstr>
      <vt:lpstr>DOFA_INST!Área_de_impresión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pc</dc:creator>
  <cp:keywords/>
  <dc:description/>
  <cp:lastModifiedBy>YENIFER ALEJANDRA PANQUEVA PAEZ</cp:lastModifiedBy>
  <cp:revision/>
  <dcterms:created xsi:type="dcterms:W3CDTF">2018-03-13T02:04:49Z</dcterms:created>
  <dcterms:modified xsi:type="dcterms:W3CDTF">2025-12-04T17:36:52Z</dcterms:modified>
  <cp:category/>
  <cp:contentStatus/>
</cp:coreProperties>
</file>